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5. 15 ก.ค. 66\"/>
    </mc:Choice>
  </mc:AlternateContent>
  <xr:revisionPtr revIDLastSave="0" documentId="13_ncr:1_{DC7B82C4-528E-4CCB-8565-F49830CC0094}" xr6:coauthVersionLast="37" xr6:coauthVersionMax="37" xr10:uidLastSave="{00000000-0000-0000-0000-000000000000}"/>
  <bookViews>
    <workbookView xWindow="0" yWindow="0" windowWidth="24000" windowHeight="9225" tabRatio="848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externalReferences>
    <externalReference r:id="rId16"/>
  </externalReferences>
  <definedNames>
    <definedName name="_xlnm.Print_Area" localSheetId="1">กระบี่!$A$1:$P$828</definedName>
    <definedName name="_xlnm.Print_Area" localSheetId="2">ชุมพร!$A$1:$P$828</definedName>
    <definedName name="_xlnm.Print_Area" localSheetId="3">ตรัง!$A$1:$P$828</definedName>
    <definedName name="_xlnm.Print_Area" localSheetId="4">นครศรีธรรมราช!$A$1:$P$828</definedName>
    <definedName name="_xlnm.Print_Area" localSheetId="5">นราธิวาส!$A$1:$P$828</definedName>
    <definedName name="_xlnm.Print_Area" localSheetId="6">ปัตตานี!$A$1:$P$828</definedName>
    <definedName name="_xlnm.Print_Area" localSheetId="7">พังงา!$A$1:$P$828</definedName>
    <definedName name="_xlnm.Print_Area" localSheetId="8">พัทลุง!$A$1:$P$828</definedName>
    <definedName name="_xlnm.Print_Area" localSheetId="10">ยะลา!$A$1:$P$828</definedName>
    <definedName name="_xlnm.Print_Area" localSheetId="0">รวมใต้!$A$1:$P$828</definedName>
    <definedName name="_xlnm.Print_Area" localSheetId="11">ระนอง!$A$1:$P$828</definedName>
    <definedName name="_xlnm.Print_Area" localSheetId="12">สงขลา!$A$1:$P$828</definedName>
    <definedName name="_xlnm.Print_Area" localSheetId="13">สตูล!$A$1:$P$828</definedName>
    <definedName name="_xlnm.Print_Area" localSheetId="14">สุราษฎร์ธานี!$A$1:$P$828</definedName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79021"/>
</workbook>
</file>

<file path=xl/calcChain.xml><?xml version="1.0" encoding="utf-8"?>
<calcChain xmlns="http://schemas.openxmlformats.org/spreadsheetml/2006/main">
  <c r="I824" i="10" l="1"/>
  <c r="I823" i="10"/>
  <c r="J828" i="15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N807" i="15" s="1"/>
  <c r="P809" i="15"/>
  <c r="O809" i="15"/>
  <c r="P808" i="15"/>
  <c r="N808" i="15"/>
  <c r="M808" i="15"/>
  <c r="L808" i="15"/>
  <c r="O808" i="15" s="1"/>
  <c r="O807" i="15"/>
  <c r="M807" i="15"/>
  <c r="L807" i="15"/>
  <c r="P806" i="15"/>
  <c r="N806" i="15"/>
  <c r="N805" i="15" s="1"/>
  <c r="M806" i="15"/>
  <c r="L806" i="15"/>
  <c r="K804" i="15"/>
  <c r="J804" i="15"/>
  <c r="K802" i="15"/>
  <c r="J801" i="15"/>
  <c r="J800" i="15"/>
  <c r="I800" i="15"/>
  <c r="P798" i="15"/>
  <c r="O798" i="15"/>
  <c r="P797" i="15"/>
  <c r="O797" i="15"/>
  <c r="O796" i="15"/>
  <c r="N796" i="15"/>
  <c r="M796" i="15"/>
  <c r="P796" i="15" s="1"/>
  <c r="L796" i="15"/>
  <c r="P791" i="15"/>
  <c r="N791" i="15"/>
  <c r="N788" i="15" s="1"/>
  <c r="L791" i="15"/>
  <c r="O791" i="15" s="1"/>
  <c r="P790" i="15"/>
  <c r="O790" i="15"/>
  <c r="P789" i="15"/>
  <c r="N789" i="15"/>
  <c r="M789" i="15"/>
  <c r="L789" i="15"/>
  <c r="O789" i="15" s="1"/>
  <c r="M788" i="15"/>
  <c r="P787" i="15"/>
  <c r="N787" i="15"/>
  <c r="N786" i="15" s="1"/>
  <c r="M787" i="15"/>
  <c r="L787" i="15"/>
  <c r="J785" i="15"/>
  <c r="P782" i="15"/>
  <c r="O782" i="15"/>
  <c r="P781" i="15"/>
  <c r="O781" i="15"/>
  <c r="O780" i="15"/>
  <c r="N780" i="15"/>
  <c r="M780" i="15"/>
  <c r="P780" i="15" s="1"/>
  <c r="L780" i="15"/>
  <c r="P775" i="15"/>
  <c r="O775" i="15"/>
  <c r="N775" i="15"/>
  <c r="N773" i="15" s="1"/>
  <c r="P774" i="15"/>
  <c r="O774" i="15"/>
  <c r="O773" i="15"/>
  <c r="M773" i="15"/>
  <c r="P773" i="15" s="1"/>
  <c r="L773" i="15"/>
  <c r="P772" i="15"/>
  <c r="N772" i="15"/>
  <c r="N770" i="15" s="1"/>
  <c r="M772" i="15"/>
  <c r="L772" i="15"/>
  <c r="O772" i="15" s="1"/>
  <c r="O771" i="15"/>
  <c r="N771" i="15"/>
  <c r="M771" i="15"/>
  <c r="L771" i="15"/>
  <c r="L770" i="15"/>
  <c r="O770" i="15" s="1"/>
  <c r="K769" i="15"/>
  <c r="J769" i="15"/>
  <c r="P766" i="15"/>
  <c r="O766" i="15"/>
  <c r="P765" i="15"/>
  <c r="O765" i="15"/>
  <c r="O764" i="15"/>
  <c r="N764" i="15"/>
  <c r="M764" i="15"/>
  <c r="P764" i="15" s="1"/>
  <c r="L764" i="15"/>
  <c r="P759" i="15"/>
  <c r="O759" i="15"/>
  <c r="N759" i="15"/>
  <c r="N757" i="15" s="1"/>
  <c r="P758" i="15"/>
  <c r="O758" i="15"/>
  <c r="O757" i="15"/>
  <c r="M757" i="15"/>
  <c r="P757" i="15" s="1"/>
  <c r="L757" i="15"/>
  <c r="P756" i="15"/>
  <c r="N756" i="15"/>
  <c r="N754" i="15" s="1"/>
  <c r="M756" i="15"/>
  <c r="L756" i="15"/>
  <c r="O756" i="15" s="1"/>
  <c r="O755" i="15"/>
  <c r="N755" i="15"/>
  <c r="M755" i="15"/>
  <c r="L755" i="15"/>
  <c r="L754" i="15"/>
  <c r="O754" i="15" s="1"/>
  <c r="K753" i="15"/>
  <c r="J753" i="15"/>
  <c r="P749" i="15"/>
  <c r="O749" i="15"/>
  <c r="P748" i="15"/>
  <c r="O748" i="15"/>
  <c r="O747" i="15"/>
  <c r="N747" i="15"/>
  <c r="M747" i="15"/>
  <c r="P747" i="15" s="1"/>
  <c r="L747" i="15"/>
  <c r="P742" i="15"/>
  <c r="O742" i="15"/>
  <c r="N742" i="15"/>
  <c r="N740" i="15" s="1"/>
  <c r="P741" i="15"/>
  <c r="O741" i="15"/>
  <c r="O740" i="15"/>
  <c r="M740" i="15"/>
  <c r="P740" i="15" s="1"/>
  <c r="L740" i="15"/>
  <c r="P739" i="15"/>
  <c r="N739" i="15"/>
  <c r="N737" i="15" s="1"/>
  <c r="M739" i="15"/>
  <c r="L739" i="15"/>
  <c r="O739" i="15" s="1"/>
  <c r="O738" i="15"/>
  <c r="N738" i="15"/>
  <c r="M738" i="15"/>
  <c r="L738" i="15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O695" i="15"/>
  <c r="N695" i="15"/>
  <c r="M695" i="15"/>
  <c r="P695" i="15" s="1"/>
  <c r="L695" i="15"/>
  <c r="P690" i="15"/>
  <c r="N690" i="15"/>
  <c r="N687" i="15" s="1"/>
  <c r="L690" i="15"/>
  <c r="O690" i="15" s="1"/>
  <c r="P688" i="15"/>
  <c r="N688" i="15"/>
  <c r="M688" i="15"/>
  <c r="M687" i="15"/>
  <c r="P686" i="15"/>
  <c r="N686" i="15"/>
  <c r="N685" i="15" s="1"/>
  <c r="M686" i="15"/>
  <c r="L686" i="15"/>
  <c r="J679" i="15"/>
  <c r="J678" i="15" s="1"/>
  <c r="I678" i="15"/>
  <c r="K678" i="15" s="1"/>
  <c r="J675" i="15"/>
  <c r="I671" i="15"/>
  <c r="K671" i="15" s="1"/>
  <c r="I670" i="15"/>
  <c r="K670" i="15" s="1"/>
  <c r="J669" i="15"/>
  <c r="I669" i="15"/>
  <c r="K673" i="15" s="1"/>
  <c r="P667" i="15"/>
  <c r="O667" i="15"/>
  <c r="P666" i="15"/>
  <c r="O666" i="15"/>
  <c r="N665" i="15"/>
  <c r="M665" i="15"/>
  <c r="P665" i="15" s="1"/>
  <c r="L665" i="15"/>
  <c r="O665" i="15" s="1"/>
  <c r="P660" i="15"/>
  <c r="N660" i="15"/>
  <c r="N657" i="15" s="1"/>
  <c r="L660" i="15"/>
  <c r="O660" i="15" s="1"/>
  <c r="P659" i="15"/>
  <c r="O659" i="15"/>
  <c r="N658" i="15"/>
  <c r="M658" i="15"/>
  <c r="P658" i="15" s="1"/>
  <c r="P657" i="15"/>
  <c r="M657" i="15"/>
  <c r="M655" i="15" s="1"/>
  <c r="P655" i="15" s="1"/>
  <c r="O656" i="15"/>
  <c r="N656" i="15"/>
  <c r="M656" i="15"/>
  <c r="P656" i="15" s="1"/>
  <c r="L656" i="15"/>
  <c r="N655" i="15"/>
  <c r="J654" i="15"/>
  <c r="K652" i="15"/>
  <c r="J652" i="15"/>
  <c r="J651" i="15"/>
  <c r="J628" i="15" s="1"/>
  <c r="I651" i="15"/>
  <c r="I628" i="15" s="1"/>
  <c r="K628" i="15" s="1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L639" i="15" s="1"/>
  <c r="O639" i="15" s="1"/>
  <c r="P640" i="15"/>
  <c r="O640" i="15"/>
  <c r="P639" i="15"/>
  <c r="N639" i="15"/>
  <c r="M639" i="15"/>
  <c r="P634" i="15"/>
  <c r="N634" i="15"/>
  <c r="L634" i="15"/>
  <c r="P633" i="15"/>
  <c r="O633" i="15"/>
  <c r="N632" i="15"/>
  <c r="M632" i="15"/>
  <c r="P632" i="15" s="1"/>
  <c r="N631" i="15"/>
  <c r="M631" i="15"/>
  <c r="P631" i="15" s="1"/>
  <c r="N630" i="15"/>
  <c r="N629" i="15" s="1"/>
  <c r="M630" i="15"/>
  <c r="P630" i="15" s="1"/>
  <c r="L630" i="15"/>
  <c r="O630" i="15" s="1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4" i="15" s="1"/>
  <c r="J595" i="15"/>
  <c r="I594" i="15"/>
  <c r="K594" i="15" s="1"/>
  <c r="J593" i="15"/>
  <c r="J592" i="15" s="1"/>
  <c r="I593" i="15"/>
  <c r="I592" i="15" s="1"/>
  <c r="K592" i="15" s="1"/>
  <c r="J583" i="15"/>
  <c r="J582" i="15"/>
  <c r="J576" i="15" s="1"/>
  <c r="J577" i="15"/>
  <c r="I577" i="15"/>
  <c r="I576" i="15"/>
  <c r="I559" i="15" s="1"/>
  <c r="J569" i="15"/>
  <c r="I569" i="15"/>
  <c r="J568" i="15"/>
  <c r="I568" i="15"/>
  <c r="K568" i="15" s="1"/>
  <c r="J561" i="15"/>
  <c r="I561" i="15"/>
  <c r="J560" i="15"/>
  <c r="I560" i="15"/>
  <c r="K560" i="15" s="1"/>
  <c r="J559" i="15"/>
  <c r="J543" i="15" s="1"/>
  <c r="P557" i="15"/>
  <c r="L557" i="15"/>
  <c r="P556" i="15"/>
  <c r="O556" i="15"/>
  <c r="N555" i="15"/>
  <c r="M555" i="15"/>
  <c r="P555" i="15" s="1"/>
  <c r="N554" i="15"/>
  <c r="N549" i="15" s="1"/>
  <c r="N553" i="15"/>
  <c r="N552" i="15"/>
  <c r="L549" i="15"/>
  <c r="L547" i="15" s="1"/>
  <c r="P548" i="15"/>
  <c r="O548" i="15"/>
  <c r="N545" i="15"/>
  <c r="L545" i="15"/>
  <c r="I542" i="15"/>
  <c r="K542" i="15" s="1"/>
  <c r="I541" i="15"/>
  <c r="K541" i="15" s="1"/>
  <c r="I540" i="15"/>
  <c r="K540" i="15" s="1"/>
  <c r="I539" i="15"/>
  <c r="K539" i="15" s="1"/>
  <c r="I538" i="15"/>
  <c r="I537" i="15"/>
  <c r="I522" i="15" s="1"/>
  <c r="P535" i="15"/>
  <c r="L535" i="15"/>
  <c r="P534" i="15"/>
  <c r="O534" i="15"/>
  <c r="N533" i="15"/>
  <c r="M533" i="15"/>
  <c r="P533" i="15" s="1"/>
  <c r="N532" i="15"/>
  <c r="N530" i="15"/>
  <c r="N529" i="15"/>
  <c r="N528" i="15" s="1"/>
  <c r="L528" i="15"/>
  <c r="M528" i="15" s="1"/>
  <c r="P527" i="15"/>
  <c r="O527" i="15"/>
  <c r="P524" i="15"/>
  <c r="N524" i="15"/>
  <c r="M524" i="15"/>
  <c r="L524" i="15"/>
  <c r="K517" i="15"/>
  <c r="J517" i="15"/>
  <c r="J501" i="15" s="1"/>
  <c r="K516" i="15"/>
  <c r="P514" i="15"/>
  <c r="O514" i="15"/>
  <c r="P513" i="15"/>
  <c r="O513" i="15"/>
  <c r="P512" i="15"/>
  <c r="N512" i="15"/>
  <c r="M512" i="15"/>
  <c r="L512" i="15"/>
  <c r="O512" i="15" s="1"/>
  <c r="P507" i="15"/>
  <c r="O507" i="15"/>
  <c r="N507" i="15"/>
  <c r="P506" i="15"/>
  <c r="O506" i="15"/>
  <c r="P505" i="15"/>
  <c r="O505" i="15"/>
  <c r="N505" i="15"/>
  <c r="M505" i="15"/>
  <c r="L505" i="15"/>
  <c r="O504" i="15"/>
  <c r="N504" i="15"/>
  <c r="M504" i="15"/>
  <c r="P504" i="15" s="1"/>
  <c r="L504" i="15"/>
  <c r="N503" i="15"/>
  <c r="N502" i="15" s="1"/>
  <c r="M503" i="15"/>
  <c r="P503" i="15" s="1"/>
  <c r="L503" i="15"/>
  <c r="M502" i="15"/>
  <c r="P502" i="15" s="1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N477" i="15"/>
  <c r="M477" i="15"/>
  <c r="P477" i="15" s="1"/>
  <c r="N476" i="15"/>
  <c r="N472" i="15" s="1"/>
  <c r="L472" i="15"/>
  <c r="M472" i="15" s="1"/>
  <c r="P471" i="15"/>
  <c r="O471" i="15"/>
  <c r="P468" i="15"/>
  <c r="O468" i="15"/>
  <c r="N468" i="15"/>
  <c r="M468" i="15"/>
  <c r="L468" i="15"/>
  <c r="J466" i="15"/>
  <c r="I466" i="15"/>
  <c r="K466" i="15" s="1"/>
  <c r="J465" i="15"/>
  <c r="I465" i="15"/>
  <c r="I464" i="15"/>
  <c r="I463" i="15"/>
  <c r="I462" i="15"/>
  <c r="I443" i="15" s="1"/>
  <c r="K443" i="15" s="1"/>
  <c r="I460" i="15"/>
  <c r="I442" i="15" s="1"/>
  <c r="K442" i="15" s="1"/>
  <c r="K458" i="15"/>
  <c r="P456" i="15"/>
  <c r="L456" i="15"/>
  <c r="P455" i="15"/>
  <c r="O455" i="15"/>
  <c r="N454" i="15"/>
  <c r="M454" i="15"/>
  <c r="P454" i="15" s="1"/>
  <c r="N453" i="15"/>
  <c r="N452" i="15"/>
  <c r="N450" i="15"/>
  <c r="N449" i="15"/>
  <c r="L449" i="15"/>
  <c r="M449" i="15" s="1"/>
  <c r="P448" i="15"/>
  <c r="O448" i="15"/>
  <c r="O445" i="15"/>
  <c r="N445" i="15"/>
  <c r="M445" i="15"/>
  <c r="L445" i="15"/>
  <c r="J443" i="15"/>
  <c r="J442" i="15"/>
  <c r="I441" i="15"/>
  <c r="K441" i="15" s="1"/>
  <c r="I440" i="15"/>
  <c r="I439" i="15"/>
  <c r="K439" i="15" s="1"/>
  <c r="I438" i="15"/>
  <c r="K438" i="15" s="1"/>
  <c r="I437" i="15"/>
  <c r="K437" i="15" s="1"/>
  <c r="I435" i="15"/>
  <c r="I433" i="15" s="1"/>
  <c r="J434" i="15"/>
  <c r="P431" i="15"/>
  <c r="L431" i="15"/>
  <c r="O431" i="15" s="1"/>
  <c r="P430" i="15"/>
  <c r="O430" i="15"/>
  <c r="P429" i="15"/>
  <c r="N429" i="15"/>
  <c r="M429" i="15"/>
  <c r="L429" i="15"/>
  <c r="O429" i="15" s="1"/>
  <c r="N428" i="15"/>
  <c r="N425" i="15"/>
  <c r="N424" i="15" s="1"/>
  <c r="N421" i="15" s="1"/>
  <c r="L424" i="15"/>
  <c r="L422" i="15" s="1"/>
  <c r="P423" i="15"/>
  <c r="O423" i="15"/>
  <c r="P420" i="15"/>
  <c r="N420" i="15"/>
  <c r="N419" i="15" s="1"/>
  <c r="M420" i="15"/>
  <c r="L420" i="15"/>
  <c r="J418" i="15"/>
  <c r="K413" i="15"/>
  <c r="K412" i="15"/>
  <c r="N410" i="15"/>
  <c r="N408" i="15" s="1"/>
  <c r="M410" i="15"/>
  <c r="P410" i="15" s="1"/>
  <c r="L410" i="15"/>
  <c r="O410" i="15" s="1"/>
  <c r="P409" i="15"/>
  <c r="O409" i="15"/>
  <c r="N407" i="15"/>
  <c r="M407" i="15"/>
  <c r="P407" i="15" s="1"/>
  <c r="L407" i="15"/>
  <c r="O407" i="15" s="1"/>
  <c r="P406" i="15"/>
  <c r="O406" i="15"/>
  <c r="P403" i="15"/>
  <c r="N403" i="15"/>
  <c r="M403" i="15"/>
  <c r="L403" i="15"/>
  <c r="O403" i="15" s="1"/>
  <c r="J401" i="15"/>
  <c r="I401" i="15"/>
  <c r="K401" i="15" s="1"/>
  <c r="K400" i="15"/>
  <c r="K399" i="15"/>
  <c r="N397" i="15"/>
  <c r="N395" i="15" s="1"/>
  <c r="M397" i="15"/>
  <c r="L397" i="15"/>
  <c r="O397" i="15" s="1"/>
  <c r="P396" i="15"/>
  <c r="O396" i="15"/>
  <c r="N394" i="15"/>
  <c r="N392" i="15" s="1"/>
  <c r="M394" i="15"/>
  <c r="L394" i="15"/>
  <c r="O394" i="15" s="1"/>
  <c r="P393" i="15"/>
  <c r="O393" i="15"/>
  <c r="N390" i="15"/>
  <c r="M390" i="15"/>
  <c r="P390" i="15" s="1"/>
  <c r="L390" i="15"/>
  <c r="K388" i="15"/>
  <c r="J388" i="15"/>
  <c r="I388" i="15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L353" i="15"/>
  <c r="L351" i="15" s="1"/>
  <c r="P352" i="15"/>
  <c r="O352" i="15"/>
  <c r="N350" i="15"/>
  <c r="M350" i="15"/>
  <c r="L350" i="15"/>
  <c r="L348" i="15" s="1"/>
  <c r="P349" i="15"/>
  <c r="O349" i="15"/>
  <c r="N346" i="15"/>
  <c r="M346" i="15"/>
  <c r="L346" i="15"/>
  <c r="O346" i="15" s="1"/>
  <c r="J343" i="15"/>
  <c r="J342" i="15"/>
  <c r="J341" i="15"/>
  <c r="J340" i="15"/>
  <c r="I340" i="15"/>
  <c r="J338" i="15"/>
  <c r="I338" i="15"/>
  <c r="N336" i="15"/>
  <c r="N334" i="15" s="1"/>
  <c r="M336" i="15"/>
  <c r="P336" i="15" s="1"/>
  <c r="L336" i="15"/>
  <c r="O336" i="15" s="1"/>
  <c r="P335" i="15"/>
  <c r="O335" i="15"/>
  <c r="N333" i="15"/>
  <c r="N331" i="15" s="1"/>
  <c r="M333" i="15"/>
  <c r="L333" i="15"/>
  <c r="L331" i="15" s="1"/>
  <c r="P332" i="15"/>
  <c r="O332" i="15"/>
  <c r="N329" i="15"/>
  <c r="M329" i="15"/>
  <c r="P329" i="15" s="1"/>
  <c r="L329" i="15"/>
  <c r="O329" i="15" s="1"/>
  <c r="I327" i="15"/>
  <c r="I325" i="15"/>
  <c r="K325" i="15" s="1"/>
  <c r="N323" i="15"/>
  <c r="N321" i="15" s="1"/>
  <c r="M323" i="15"/>
  <c r="L323" i="15"/>
  <c r="O323" i="15" s="1"/>
  <c r="P322" i="15"/>
  <c r="O322" i="15"/>
  <c r="N320" i="15"/>
  <c r="N318" i="15" s="1"/>
  <c r="M320" i="15"/>
  <c r="M318" i="15" s="1"/>
  <c r="L320" i="15"/>
  <c r="L318" i="15" s="1"/>
  <c r="P319" i="15"/>
  <c r="O319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I297" i="15" s="1"/>
  <c r="N306" i="15"/>
  <c r="M306" i="15"/>
  <c r="P306" i="15" s="1"/>
  <c r="L306" i="15"/>
  <c r="P305" i="15"/>
  <c r="O305" i="15"/>
  <c r="N303" i="15"/>
  <c r="N301" i="15" s="1"/>
  <c r="M303" i="15"/>
  <c r="M301" i="15" s="1"/>
  <c r="L303" i="15"/>
  <c r="L301" i="15" s="1"/>
  <c r="P302" i="15"/>
  <c r="O302" i="15"/>
  <c r="P299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J288" i="15" s="1"/>
  <c r="J275" i="15" s="1"/>
  <c r="I287" i="15"/>
  <c r="K287" i="15" s="1"/>
  <c r="N285" i="15"/>
  <c r="M285" i="15"/>
  <c r="M283" i="15" s="1"/>
  <c r="P283" i="15" s="1"/>
  <c r="L285" i="15"/>
  <c r="O285" i="15" s="1"/>
  <c r="P284" i="15"/>
  <c r="O284" i="15"/>
  <c r="N282" i="15"/>
  <c r="N280" i="15" s="1"/>
  <c r="M282" i="15"/>
  <c r="L282" i="15"/>
  <c r="P281" i="15"/>
  <c r="O281" i="15"/>
  <c r="O278" i="15"/>
  <c r="N278" i="15"/>
  <c r="M278" i="15"/>
  <c r="L278" i="15"/>
  <c r="J276" i="15"/>
  <c r="I271" i="15"/>
  <c r="K271" i="15" s="1"/>
  <c r="N269" i="15"/>
  <c r="N267" i="15" s="1"/>
  <c r="M269" i="15"/>
  <c r="P269" i="15" s="1"/>
  <c r="L269" i="15"/>
  <c r="L267" i="15" s="1"/>
  <c r="O267" i="15" s="1"/>
  <c r="P268" i="15"/>
  <c r="O268" i="15"/>
  <c r="N266" i="15"/>
  <c r="N264" i="15" s="1"/>
  <c r="M266" i="15"/>
  <c r="L266" i="15"/>
  <c r="L264" i="15" s="1"/>
  <c r="P265" i="15"/>
  <c r="O265" i="15"/>
  <c r="P262" i="15"/>
  <c r="N262" i="15"/>
  <c r="M262" i="15"/>
  <c r="L262" i="15"/>
  <c r="J260" i="15"/>
  <c r="K258" i="15"/>
  <c r="K257" i="15"/>
  <c r="I255" i="15"/>
  <c r="L253" i="15"/>
  <c r="L252" i="15"/>
  <c r="L251" i="15"/>
  <c r="L250" i="15"/>
  <c r="P249" i="15"/>
  <c r="N249" i="15"/>
  <c r="J248" i="15"/>
  <c r="K247" i="15"/>
  <c r="K246" i="15"/>
  <c r="I244" i="15"/>
  <c r="L242" i="15"/>
  <c r="L241" i="15"/>
  <c r="L240" i="15"/>
  <c r="L239" i="15"/>
  <c r="P238" i="15"/>
  <c r="N238" i="15"/>
  <c r="N227" i="15" s="1"/>
  <c r="J237" i="15"/>
  <c r="J226" i="15" s="1"/>
  <c r="J180" i="15" s="1"/>
  <c r="K236" i="15"/>
  <c r="J236" i="15"/>
  <c r="I236" i="15"/>
  <c r="K235" i="15"/>
  <c r="J235" i="15"/>
  <c r="I235" i="15"/>
  <c r="J233" i="15"/>
  <c r="N231" i="15"/>
  <c r="N230" i="15"/>
  <c r="N229" i="15"/>
  <c r="N228" i="15"/>
  <c r="I225" i="15"/>
  <c r="K225" i="15" s="1"/>
  <c r="I224" i="15"/>
  <c r="I216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M187" i="15" s="1"/>
  <c r="P187" i="15" s="1"/>
  <c r="L189" i="15"/>
  <c r="O189" i="15" s="1"/>
  <c r="P188" i="15"/>
  <c r="O188" i="15"/>
  <c r="N186" i="15"/>
  <c r="N184" i="15" s="1"/>
  <c r="M186" i="15"/>
  <c r="M184" i="15" s="1"/>
  <c r="L186" i="15"/>
  <c r="L184" i="15" s="1"/>
  <c r="P185" i="15"/>
  <c r="O185" i="15"/>
  <c r="O182" i="15"/>
  <c r="N182" i="15"/>
  <c r="M182" i="15"/>
  <c r="P182" i="15" s="1"/>
  <c r="L182" i="15"/>
  <c r="J177" i="15"/>
  <c r="J164" i="15" s="1"/>
  <c r="I176" i="15"/>
  <c r="I174" i="15" s="1"/>
  <c r="I164" i="15" s="1"/>
  <c r="K164" i="15" s="1"/>
  <c r="J174" i="15"/>
  <c r="N173" i="15"/>
  <c r="N171" i="15" s="1"/>
  <c r="M173" i="15"/>
  <c r="L173" i="15"/>
  <c r="O173" i="15" s="1"/>
  <c r="P172" i="15"/>
  <c r="O172" i="15"/>
  <c r="N170" i="15"/>
  <c r="N168" i="15" s="1"/>
  <c r="M170" i="15"/>
  <c r="M168" i="15" s="1"/>
  <c r="L170" i="15"/>
  <c r="L168" i="15" s="1"/>
  <c r="P169" i="15"/>
  <c r="O169" i="15"/>
  <c r="P166" i="15"/>
  <c r="N166" i="15"/>
  <c r="M166" i="15"/>
  <c r="L166" i="15"/>
  <c r="O166" i="15" s="1"/>
  <c r="I159" i="15"/>
  <c r="I148" i="15" s="1"/>
  <c r="K148" i="15" s="1"/>
  <c r="N157" i="15"/>
  <c r="N155" i="15" s="1"/>
  <c r="M157" i="15"/>
  <c r="L157" i="15"/>
  <c r="O157" i="15" s="1"/>
  <c r="P156" i="15"/>
  <c r="O156" i="15"/>
  <c r="N154" i="15"/>
  <c r="N152" i="15" s="1"/>
  <c r="M154" i="15"/>
  <c r="L154" i="15"/>
  <c r="L152" i="15" s="1"/>
  <c r="P153" i="15"/>
  <c r="O153" i="15"/>
  <c r="P150" i="15"/>
  <c r="N150" i="15"/>
  <c r="M150" i="15"/>
  <c r="L150" i="15"/>
  <c r="J148" i="15"/>
  <c r="I146" i="15"/>
  <c r="K146" i="15" s="1"/>
  <c r="I145" i="15"/>
  <c r="I144" i="15"/>
  <c r="K144" i="15" s="1"/>
  <c r="N140" i="15"/>
  <c r="N138" i="15" s="1"/>
  <c r="M140" i="15"/>
  <c r="M138" i="15" s="1"/>
  <c r="L140" i="15"/>
  <c r="L138" i="15" s="1"/>
  <c r="P139" i="15"/>
  <c r="O139" i="15"/>
  <c r="N137" i="15"/>
  <c r="N135" i="15" s="1"/>
  <c r="M137" i="15"/>
  <c r="L137" i="15"/>
  <c r="L135" i="15" s="1"/>
  <c r="P136" i="15"/>
  <c r="O136" i="15"/>
  <c r="N133" i="15"/>
  <c r="M133" i="15"/>
  <c r="P133" i="15" s="1"/>
  <c r="L133" i="15"/>
  <c r="O133" i="15" s="1"/>
  <c r="J130" i="15"/>
  <c r="N127" i="15"/>
  <c r="N125" i="15" s="1"/>
  <c r="M127" i="15"/>
  <c r="P127" i="15" s="1"/>
  <c r="L127" i="15"/>
  <c r="O127" i="15" s="1"/>
  <c r="P126" i="15"/>
  <c r="O126" i="15"/>
  <c r="N124" i="15"/>
  <c r="N122" i="15" s="1"/>
  <c r="M124" i="15"/>
  <c r="P124" i="15" s="1"/>
  <c r="L124" i="15"/>
  <c r="O124" i="15" s="1"/>
  <c r="P123" i="15"/>
  <c r="O123" i="15"/>
  <c r="P120" i="15"/>
  <c r="O120" i="15"/>
  <c r="N120" i="15"/>
  <c r="M120" i="15"/>
  <c r="L120" i="15"/>
  <c r="J118" i="15"/>
  <c r="K118" i="15" s="1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J99" i="15"/>
  <c r="J87" i="15" s="1"/>
  <c r="I99" i="15"/>
  <c r="I87" i="15" s="1"/>
  <c r="J98" i="15"/>
  <c r="I98" i="15"/>
  <c r="N96" i="15"/>
  <c r="N94" i="15" s="1"/>
  <c r="M96" i="15"/>
  <c r="P96" i="15" s="1"/>
  <c r="L96" i="15"/>
  <c r="O96" i="15" s="1"/>
  <c r="P95" i="15"/>
  <c r="O95" i="15"/>
  <c r="N93" i="15"/>
  <c r="N91" i="15" s="1"/>
  <c r="M93" i="15"/>
  <c r="M91" i="15" s="1"/>
  <c r="L93" i="15"/>
  <c r="P92" i="15"/>
  <c r="O92" i="15"/>
  <c r="P89" i="15"/>
  <c r="O89" i="15"/>
  <c r="N89" i="15"/>
  <c r="M89" i="15"/>
  <c r="L89" i="15"/>
  <c r="J86" i="15"/>
  <c r="I84" i="15"/>
  <c r="K84" i="15" s="1"/>
  <c r="I83" i="15"/>
  <c r="K83" i="15" s="1"/>
  <c r="I82" i="15"/>
  <c r="K82" i="15" s="1"/>
  <c r="I81" i="15"/>
  <c r="I80" i="15"/>
  <c r="K80" i="15" s="1"/>
  <c r="I79" i="15"/>
  <c r="K79" i="15" s="1"/>
  <c r="I78" i="15"/>
  <c r="K78" i="15" s="1"/>
  <c r="J77" i="15"/>
  <c r="J76" i="15"/>
  <c r="N74" i="15"/>
  <c r="N72" i="15" s="1"/>
  <c r="M74" i="15"/>
  <c r="P74" i="15" s="1"/>
  <c r="L74" i="15"/>
  <c r="O74" i="15" s="1"/>
  <c r="P73" i="15"/>
  <c r="O73" i="15"/>
  <c r="N71" i="15"/>
  <c r="N69" i="15" s="1"/>
  <c r="M71" i="15"/>
  <c r="L71" i="15"/>
  <c r="P70" i="15"/>
  <c r="O70" i="15"/>
  <c r="O67" i="15"/>
  <c r="N67" i="15"/>
  <c r="M67" i="15"/>
  <c r="P67" i="15" s="1"/>
  <c r="L67" i="15"/>
  <c r="J65" i="15"/>
  <c r="J64" i="15"/>
  <c r="N61" i="15"/>
  <c r="N59" i="15" s="1"/>
  <c r="M61" i="15"/>
  <c r="L61" i="15"/>
  <c r="P60" i="15"/>
  <c r="O60" i="15"/>
  <c r="N58" i="15"/>
  <c r="M58" i="15"/>
  <c r="M56" i="15" s="1"/>
  <c r="L58" i="15"/>
  <c r="L56" i="15" s="1"/>
  <c r="P57" i="15"/>
  <c r="O57" i="15"/>
  <c r="N54" i="15"/>
  <c r="M54" i="15"/>
  <c r="P54" i="15" s="1"/>
  <c r="L54" i="15"/>
  <c r="N49" i="15"/>
  <c r="N47" i="15" s="1"/>
  <c r="M49" i="15"/>
  <c r="P49" i="15" s="1"/>
  <c r="L49" i="15"/>
  <c r="O49" i="15" s="1"/>
  <c r="P48" i="15"/>
  <c r="O48" i="15"/>
  <c r="N46" i="15"/>
  <c r="M46" i="15"/>
  <c r="M44" i="15" s="1"/>
  <c r="L46" i="15"/>
  <c r="L44" i="15" s="1"/>
  <c r="P45" i="15"/>
  <c r="O45" i="15"/>
  <c r="P42" i="15"/>
  <c r="O42" i="15"/>
  <c r="N42" i="15"/>
  <c r="M42" i="15"/>
  <c r="L42" i="15"/>
  <c r="N36" i="15"/>
  <c r="N34" i="15" s="1"/>
  <c r="M36" i="15"/>
  <c r="P36" i="15" s="1"/>
  <c r="N35" i="15"/>
  <c r="M35" i="15"/>
  <c r="P35" i="15" s="1"/>
  <c r="L35" i="15"/>
  <c r="L15" i="15" s="1"/>
  <c r="N33" i="15"/>
  <c r="N30" i="15" s="1"/>
  <c r="P32" i="15"/>
  <c r="N32" i="15"/>
  <c r="N29" i="15" s="1"/>
  <c r="M32" i="15"/>
  <c r="L32" i="15"/>
  <c r="O32" i="15" s="1"/>
  <c r="N31" i="15"/>
  <c r="M29" i="15"/>
  <c r="O25" i="15"/>
  <c r="N25" i="15"/>
  <c r="N15" i="15" s="1"/>
  <c r="M25" i="15"/>
  <c r="P25" i="15" s="1"/>
  <c r="L25" i="15"/>
  <c r="P22" i="15"/>
  <c r="N22" i="15"/>
  <c r="M22" i="15"/>
  <c r="L22" i="15"/>
  <c r="L19" i="15" s="1"/>
  <c r="M19" i="15"/>
  <c r="P19" i="15" s="1"/>
  <c r="M15" i="15"/>
  <c r="P15" i="15" s="1"/>
  <c r="N12" i="15"/>
  <c r="N9" i="15" s="1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N807" i="14" s="1"/>
  <c r="N805" i="14" s="1"/>
  <c r="P809" i="14"/>
  <c r="O809" i="14"/>
  <c r="P808" i="14"/>
  <c r="N808" i="14"/>
  <c r="M808" i="14"/>
  <c r="L808" i="14"/>
  <c r="O808" i="14" s="1"/>
  <c r="O807" i="14"/>
  <c r="M807" i="14"/>
  <c r="L807" i="14"/>
  <c r="P806" i="14"/>
  <c r="N806" i="14"/>
  <c r="M806" i="14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N786" i="14" s="1"/>
  <c r="L791" i="14"/>
  <c r="O791" i="14" s="1"/>
  <c r="P790" i="14"/>
  <c r="O790" i="14"/>
  <c r="P789" i="14"/>
  <c r="M789" i="14"/>
  <c r="M788" i="14"/>
  <c r="P787" i="14"/>
  <c r="N787" i="14"/>
  <c r="M787" i="14"/>
  <c r="L787" i="14"/>
  <c r="P782" i="14"/>
  <c r="O782" i="14"/>
  <c r="P781" i="14"/>
  <c r="O781" i="14"/>
  <c r="O780" i="14"/>
  <c r="N780" i="14"/>
  <c r="M780" i="14"/>
  <c r="P780" i="14" s="1"/>
  <c r="L780" i="14"/>
  <c r="P775" i="14"/>
  <c r="O775" i="14"/>
  <c r="N775" i="14"/>
  <c r="N773" i="14" s="1"/>
  <c r="P774" i="14"/>
  <c r="O774" i="14"/>
  <c r="O773" i="14"/>
  <c r="M773" i="14"/>
  <c r="P773" i="14" s="1"/>
  <c r="L773" i="14"/>
  <c r="P772" i="14"/>
  <c r="N772" i="14"/>
  <c r="N770" i="14" s="1"/>
  <c r="M772" i="14"/>
  <c r="L772" i="14"/>
  <c r="O772" i="14" s="1"/>
  <c r="O771" i="14"/>
  <c r="N771" i="14"/>
  <c r="M771" i="14"/>
  <c r="L771" i="14"/>
  <c r="L770" i="14"/>
  <c r="O770" i="14" s="1"/>
  <c r="K769" i="14"/>
  <c r="J769" i="14"/>
  <c r="P766" i="14"/>
  <c r="O766" i="14"/>
  <c r="P765" i="14"/>
  <c r="O765" i="14"/>
  <c r="O764" i="14"/>
  <c r="N764" i="14"/>
  <c r="M764" i="14"/>
  <c r="P764" i="14" s="1"/>
  <c r="L764" i="14"/>
  <c r="P759" i="14"/>
  <c r="O759" i="14"/>
  <c r="N759" i="14"/>
  <c r="N757" i="14" s="1"/>
  <c r="P758" i="14"/>
  <c r="O758" i="14"/>
  <c r="O757" i="14"/>
  <c r="M757" i="14"/>
  <c r="P757" i="14" s="1"/>
  <c r="L757" i="14"/>
  <c r="P756" i="14"/>
  <c r="N756" i="14"/>
  <c r="N754" i="14" s="1"/>
  <c r="M756" i="14"/>
  <c r="L756" i="14"/>
  <c r="O756" i="14" s="1"/>
  <c r="O755" i="14"/>
  <c r="N755" i="14"/>
  <c r="M755" i="14"/>
  <c r="L755" i="14"/>
  <c r="L754" i="14"/>
  <c r="O754" i="14" s="1"/>
  <c r="K753" i="14"/>
  <c r="J753" i="14"/>
  <c r="P749" i="14"/>
  <c r="O749" i="14"/>
  <c r="P748" i="14"/>
  <c r="O748" i="14"/>
  <c r="O747" i="14"/>
  <c r="N747" i="14"/>
  <c r="M747" i="14"/>
  <c r="P747" i="14" s="1"/>
  <c r="L747" i="14"/>
  <c r="P742" i="14"/>
  <c r="O742" i="14"/>
  <c r="N742" i="14"/>
  <c r="N740" i="14" s="1"/>
  <c r="P741" i="14"/>
  <c r="O741" i="14"/>
  <c r="O740" i="14"/>
  <c r="M740" i="14"/>
  <c r="P740" i="14" s="1"/>
  <c r="L740" i="14"/>
  <c r="P739" i="14"/>
  <c r="N739" i="14"/>
  <c r="N737" i="14" s="1"/>
  <c r="M739" i="14"/>
  <c r="L739" i="14"/>
  <c r="O739" i="14" s="1"/>
  <c r="O738" i="14"/>
  <c r="N738" i="14"/>
  <c r="M738" i="14"/>
  <c r="L738" i="14"/>
  <c r="L737" i="14"/>
  <c r="O737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O695" i="14"/>
  <c r="N695" i="14"/>
  <c r="M695" i="14"/>
  <c r="P695" i="14" s="1"/>
  <c r="L695" i="14"/>
  <c r="P690" i="14"/>
  <c r="N690" i="14"/>
  <c r="N687" i="14" s="1"/>
  <c r="L690" i="14"/>
  <c r="O690" i="14" s="1"/>
  <c r="P688" i="14"/>
  <c r="N688" i="14"/>
  <c r="M688" i="14"/>
  <c r="M687" i="14"/>
  <c r="P686" i="14"/>
  <c r="N686" i="14"/>
  <c r="N685" i="14" s="1"/>
  <c r="M686" i="14"/>
  <c r="L686" i="14"/>
  <c r="J679" i="14"/>
  <c r="J678" i="14" s="1"/>
  <c r="I678" i="14"/>
  <c r="K678" i="14" s="1"/>
  <c r="J675" i="14"/>
  <c r="I671" i="14"/>
  <c r="K671" i="14" s="1"/>
  <c r="I670" i="14"/>
  <c r="K670" i="14" s="1"/>
  <c r="J669" i="14"/>
  <c r="J654" i="14" s="1"/>
  <c r="I669" i="14"/>
  <c r="K673" i="14" s="1"/>
  <c r="P667" i="14"/>
  <c r="O667" i="14"/>
  <c r="P666" i="14"/>
  <c r="O666" i="14"/>
  <c r="P665" i="14"/>
  <c r="N665" i="14"/>
  <c r="M665" i="14"/>
  <c r="L665" i="14"/>
  <c r="O665" i="14" s="1"/>
  <c r="P660" i="14"/>
  <c r="N660" i="14"/>
  <c r="L660" i="14"/>
  <c r="L658" i="14" s="1"/>
  <c r="O658" i="14" s="1"/>
  <c r="P659" i="14"/>
  <c r="O659" i="14"/>
  <c r="N658" i="14"/>
  <c r="M658" i="14"/>
  <c r="P658" i="14" s="1"/>
  <c r="P657" i="14"/>
  <c r="N657" i="14"/>
  <c r="M657" i="14"/>
  <c r="O656" i="14"/>
  <c r="N656" i="14"/>
  <c r="M656" i="14"/>
  <c r="M655" i="14" s="1"/>
  <c r="P655" i="14" s="1"/>
  <c r="L656" i="14"/>
  <c r="N655" i="14"/>
  <c r="K652" i="14"/>
  <c r="J652" i="14"/>
  <c r="J651" i="14"/>
  <c r="J628" i="14" s="1"/>
  <c r="I651" i="14"/>
  <c r="I628" i="14" s="1"/>
  <c r="K628" i="14" s="1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O641" i="14" s="1"/>
  <c r="P640" i="14"/>
  <c r="O640" i="14"/>
  <c r="P639" i="14"/>
  <c r="N639" i="14"/>
  <c r="M639" i="14"/>
  <c r="L639" i="14"/>
  <c r="O639" i="14" s="1"/>
  <c r="P634" i="14"/>
  <c r="N634" i="14"/>
  <c r="L634" i="14"/>
  <c r="P633" i="14"/>
  <c r="O633" i="14"/>
  <c r="N632" i="14"/>
  <c r="M632" i="14"/>
  <c r="P632" i="14" s="1"/>
  <c r="P631" i="14"/>
  <c r="N631" i="14"/>
  <c r="M631" i="14"/>
  <c r="O630" i="14"/>
  <c r="N630" i="14"/>
  <c r="M630" i="14"/>
  <c r="P630" i="14" s="1"/>
  <c r="L630" i="14"/>
  <c r="P629" i="14"/>
  <c r="N629" i="14"/>
  <c r="M629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I594" i="14"/>
  <c r="K594" i="14" s="1"/>
  <c r="J593" i="14"/>
  <c r="J592" i="14" s="1"/>
  <c r="I593" i="14"/>
  <c r="I592" i="14" s="1"/>
  <c r="K592" i="14" s="1"/>
  <c r="J583" i="14"/>
  <c r="J582" i="14"/>
  <c r="J577" i="14"/>
  <c r="I577" i="14"/>
  <c r="K577" i="14" s="1"/>
  <c r="J576" i="14"/>
  <c r="I576" i="14"/>
  <c r="I559" i="14" s="1"/>
  <c r="J569" i="14"/>
  <c r="I569" i="14"/>
  <c r="J568" i="14"/>
  <c r="I568" i="14"/>
  <c r="K568" i="14" s="1"/>
  <c r="J561" i="14"/>
  <c r="I561" i="14"/>
  <c r="K561" i="14" s="1"/>
  <c r="J560" i="14"/>
  <c r="I560" i="14"/>
  <c r="K560" i="14" s="1"/>
  <c r="J559" i="14"/>
  <c r="P557" i="14"/>
  <c r="L557" i="14"/>
  <c r="L555" i="14" s="1"/>
  <c r="O555" i="14" s="1"/>
  <c r="P556" i="14"/>
  <c r="O556" i="14"/>
  <c r="N555" i="14"/>
  <c r="M555" i="14"/>
  <c r="P555" i="14" s="1"/>
  <c r="N553" i="14"/>
  <c r="N549" i="14" s="1"/>
  <c r="N552" i="14"/>
  <c r="L549" i="14"/>
  <c r="P548" i="14"/>
  <c r="O548" i="14"/>
  <c r="O545" i="14"/>
  <c r="N545" i="14"/>
  <c r="M545" i="14"/>
  <c r="P545" i="14" s="1"/>
  <c r="L545" i="14"/>
  <c r="J543" i="14"/>
  <c r="I542" i="14"/>
  <c r="K542" i="14" s="1"/>
  <c r="I541" i="14"/>
  <c r="K541" i="14" s="1"/>
  <c r="I540" i="14"/>
  <c r="K540" i="14" s="1"/>
  <c r="I539" i="14"/>
  <c r="K539" i="14" s="1"/>
  <c r="I538" i="14"/>
  <c r="K538" i="14" s="1"/>
  <c r="I537" i="14"/>
  <c r="I522" i="14" s="1"/>
  <c r="K522" i="14" s="1"/>
  <c r="P535" i="14"/>
  <c r="L535" i="14"/>
  <c r="O535" i="14" s="1"/>
  <c r="P534" i="14"/>
  <c r="O534" i="14"/>
  <c r="P533" i="14"/>
  <c r="N533" i="14"/>
  <c r="M533" i="14"/>
  <c r="L533" i="14"/>
  <c r="O533" i="14" s="1"/>
  <c r="P528" i="14"/>
  <c r="N528" i="14"/>
  <c r="L528" i="14"/>
  <c r="O528" i="14" s="1"/>
  <c r="P527" i="14"/>
  <c r="O527" i="14"/>
  <c r="N526" i="14"/>
  <c r="M526" i="14"/>
  <c r="P526" i="14" s="1"/>
  <c r="P525" i="14"/>
  <c r="N525" i="14"/>
  <c r="M525" i="14"/>
  <c r="O524" i="14"/>
  <c r="N524" i="14"/>
  <c r="M524" i="14"/>
  <c r="M523" i="14" s="1"/>
  <c r="P523" i="14" s="1"/>
  <c r="L524" i="14"/>
  <c r="N523" i="14"/>
  <c r="K517" i="14"/>
  <c r="J517" i="14"/>
  <c r="K516" i="14"/>
  <c r="P514" i="14"/>
  <c r="O514" i="14"/>
  <c r="P513" i="14"/>
  <c r="O513" i="14"/>
  <c r="O512" i="14"/>
  <c r="N512" i="14"/>
  <c r="M512" i="14"/>
  <c r="P512" i="14" s="1"/>
  <c r="L512" i="14"/>
  <c r="P507" i="14"/>
  <c r="O507" i="14"/>
  <c r="N507" i="14"/>
  <c r="N505" i="14" s="1"/>
  <c r="P506" i="14"/>
  <c r="O506" i="14"/>
  <c r="O505" i="14"/>
  <c r="M505" i="14"/>
  <c r="P505" i="14" s="1"/>
  <c r="L505" i="14"/>
  <c r="P504" i="14"/>
  <c r="N504" i="14"/>
  <c r="N502" i="14" s="1"/>
  <c r="M504" i="14"/>
  <c r="L504" i="14"/>
  <c r="O504" i="14" s="1"/>
  <c r="O503" i="14"/>
  <c r="N503" i="14"/>
  <c r="M503" i="14"/>
  <c r="L503" i="14"/>
  <c r="L502" i="14"/>
  <c r="O502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P477" i="14"/>
  <c r="N477" i="14"/>
  <c r="M477" i="14"/>
  <c r="N476" i="14"/>
  <c r="N472" i="14"/>
  <c r="N470" i="14" s="1"/>
  <c r="L472" i="14"/>
  <c r="P471" i="14"/>
  <c r="O471" i="14"/>
  <c r="N469" i="14"/>
  <c r="O468" i="14"/>
  <c r="N468" i="14"/>
  <c r="M468" i="14"/>
  <c r="L468" i="14"/>
  <c r="N467" i="14"/>
  <c r="J466" i="14"/>
  <c r="I466" i="14"/>
  <c r="K466" i="14" s="1"/>
  <c r="J465" i="14"/>
  <c r="I465" i="14"/>
  <c r="K465" i="14" s="1"/>
  <c r="I464" i="14"/>
  <c r="I463" i="14"/>
  <c r="I462" i="14"/>
  <c r="I460" i="14"/>
  <c r="K460" i="14" s="1"/>
  <c r="K458" i="14"/>
  <c r="P456" i="14"/>
  <c r="L456" i="14"/>
  <c r="P455" i="14"/>
  <c r="O455" i="14"/>
  <c r="N454" i="14"/>
  <c r="M454" i="14"/>
  <c r="P454" i="14" s="1"/>
  <c r="P449" i="14"/>
  <c r="N449" i="14"/>
  <c r="L449" i="14"/>
  <c r="O449" i="14" s="1"/>
  <c r="P448" i="14"/>
  <c r="O448" i="14"/>
  <c r="P447" i="14"/>
  <c r="N447" i="14"/>
  <c r="M447" i="14"/>
  <c r="L447" i="14"/>
  <c r="O447" i="14" s="1"/>
  <c r="N446" i="14"/>
  <c r="M446" i="14"/>
  <c r="P446" i="14" s="1"/>
  <c r="P445" i="14"/>
  <c r="N445" i="14"/>
  <c r="N444" i="14" s="1"/>
  <c r="M445" i="14"/>
  <c r="L445" i="14"/>
  <c r="O445" i="14" s="1"/>
  <c r="M444" i="14"/>
  <c r="P444" i="14" s="1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J434" i="14"/>
  <c r="P431" i="14"/>
  <c r="L431" i="14"/>
  <c r="P430" i="14"/>
  <c r="O430" i="14"/>
  <c r="N429" i="14"/>
  <c r="M429" i="14"/>
  <c r="P429" i="14" s="1"/>
  <c r="N428" i="14"/>
  <c r="N424" i="14" s="1"/>
  <c r="L424" i="14"/>
  <c r="P423" i="14"/>
  <c r="O423" i="14"/>
  <c r="N422" i="14"/>
  <c r="P420" i="14"/>
  <c r="N420" i="14"/>
  <c r="M420" i="14"/>
  <c r="L420" i="14"/>
  <c r="J418" i="14"/>
  <c r="K413" i="14"/>
  <c r="K412" i="14"/>
  <c r="N410" i="14"/>
  <c r="N408" i="14" s="1"/>
  <c r="M410" i="14"/>
  <c r="P410" i="14" s="1"/>
  <c r="L410" i="14"/>
  <c r="O410" i="14" s="1"/>
  <c r="P409" i="14"/>
  <c r="O409" i="14"/>
  <c r="N407" i="14"/>
  <c r="N405" i="14" s="1"/>
  <c r="M407" i="14"/>
  <c r="P407" i="14" s="1"/>
  <c r="L407" i="14"/>
  <c r="P406" i="14"/>
  <c r="O406" i="14"/>
  <c r="P403" i="14"/>
  <c r="N403" i="14"/>
  <c r="M403" i="14"/>
  <c r="L403" i="14"/>
  <c r="O403" i="14" s="1"/>
  <c r="J401" i="14"/>
  <c r="I401" i="14"/>
  <c r="K401" i="14" s="1"/>
  <c r="K400" i="14"/>
  <c r="K399" i="14"/>
  <c r="N397" i="14"/>
  <c r="M397" i="14"/>
  <c r="L397" i="14"/>
  <c r="O397" i="14" s="1"/>
  <c r="P396" i="14"/>
  <c r="O396" i="14"/>
  <c r="N394" i="14"/>
  <c r="N392" i="14" s="1"/>
  <c r="M394" i="14"/>
  <c r="L394" i="14"/>
  <c r="L392" i="14" s="1"/>
  <c r="O392" i="14" s="1"/>
  <c r="P393" i="14"/>
  <c r="O393" i="14"/>
  <c r="P390" i="14"/>
  <c r="N390" i="14"/>
  <c r="M390" i="14"/>
  <c r="L390" i="14"/>
  <c r="K388" i="14"/>
  <c r="J388" i="14"/>
  <c r="I388" i="14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M353" i="14"/>
  <c r="M351" i="14" s="1"/>
  <c r="L353" i="14"/>
  <c r="L351" i="14" s="1"/>
  <c r="P352" i="14"/>
  <c r="O352" i="14"/>
  <c r="N350" i="14"/>
  <c r="N348" i="14" s="1"/>
  <c r="M350" i="14"/>
  <c r="L350" i="14"/>
  <c r="P349" i="14"/>
  <c r="O349" i="14"/>
  <c r="P346" i="14"/>
  <c r="N346" i="14"/>
  <c r="M346" i="14"/>
  <c r="L346" i="14"/>
  <c r="J343" i="14"/>
  <c r="J342" i="14"/>
  <c r="J341" i="14"/>
  <c r="J340" i="14"/>
  <c r="I340" i="14"/>
  <c r="J338" i="14"/>
  <c r="I338" i="14"/>
  <c r="N336" i="14"/>
  <c r="N334" i="14" s="1"/>
  <c r="M336" i="14"/>
  <c r="M334" i="14" s="1"/>
  <c r="P334" i="14" s="1"/>
  <c r="L336" i="14"/>
  <c r="O336" i="14" s="1"/>
  <c r="P335" i="14"/>
  <c r="O335" i="14"/>
  <c r="N333" i="14"/>
  <c r="M333" i="14"/>
  <c r="L333" i="14"/>
  <c r="L331" i="14" s="1"/>
  <c r="P332" i="14"/>
  <c r="O332" i="14"/>
  <c r="P329" i="14"/>
  <c r="N329" i="14"/>
  <c r="M329" i="14"/>
  <c r="L329" i="14"/>
  <c r="I327" i="14"/>
  <c r="I325" i="14"/>
  <c r="N323" i="14"/>
  <c r="N321" i="14" s="1"/>
  <c r="M323" i="14"/>
  <c r="P323" i="14" s="1"/>
  <c r="L323" i="14"/>
  <c r="L321" i="14" s="1"/>
  <c r="O321" i="14" s="1"/>
  <c r="P322" i="14"/>
  <c r="O322" i="14"/>
  <c r="N320" i="14"/>
  <c r="M320" i="14"/>
  <c r="P320" i="14" s="1"/>
  <c r="L320" i="14"/>
  <c r="O320" i="14" s="1"/>
  <c r="P319" i="14"/>
  <c r="O319" i="14"/>
  <c r="N316" i="14"/>
  <c r="M316" i="14"/>
  <c r="L316" i="14"/>
  <c r="O316" i="14" s="1"/>
  <c r="J314" i="14"/>
  <c r="I312" i="14"/>
  <c r="K312" i="14" s="1"/>
  <c r="I311" i="14"/>
  <c r="K311" i="14" s="1"/>
  <c r="I310" i="14"/>
  <c r="K310" i="14" s="1"/>
  <c r="I309" i="14"/>
  <c r="N306" i="14"/>
  <c r="N304" i="14" s="1"/>
  <c r="M306" i="14"/>
  <c r="L306" i="14"/>
  <c r="P305" i="14"/>
  <c r="O305" i="14"/>
  <c r="N303" i="14"/>
  <c r="N301" i="14" s="1"/>
  <c r="M303" i="14"/>
  <c r="M301" i="14" s="1"/>
  <c r="P301" i="14" s="1"/>
  <c r="L303" i="14"/>
  <c r="O303" i="14" s="1"/>
  <c r="P302" i="14"/>
  <c r="O302" i="14"/>
  <c r="P299" i="14"/>
  <c r="O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K288" i="14" s="1"/>
  <c r="I287" i="14"/>
  <c r="K287" i="14" s="1"/>
  <c r="N285" i="14"/>
  <c r="N283" i="14" s="1"/>
  <c r="M285" i="14"/>
  <c r="L285" i="14"/>
  <c r="O285" i="14" s="1"/>
  <c r="P284" i="14"/>
  <c r="O284" i="14"/>
  <c r="N282" i="14"/>
  <c r="M282" i="14"/>
  <c r="P282" i="14" s="1"/>
  <c r="L282" i="14"/>
  <c r="L280" i="14" s="1"/>
  <c r="O280" i="14" s="1"/>
  <c r="P281" i="14"/>
  <c r="O281" i="14"/>
  <c r="P278" i="14"/>
  <c r="O278" i="14"/>
  <c r="N278" i="14"/>
  <c r="M278" i="14"/>
  <c r="L278" i="14"/>
  <c r="J276" i="14"/>
  <c r="I271" i="14"/>
  <c r="K271" i="14" s="1"/>
  <c r="N269" i="14"/>
  <c r="N267" i="14" s="1"/>
  <c r="M269" i="14"/>
  <c r="M267" i="14" s="1"/>
  <c r="P267" i="14" s="1"/>
  <c r="L269" i="14"/>
  <c r="L267" i="14" s="1"/>
  <c r="O267" i="14" s="1"/>
  <c r="P268" i="14"/>
  <c r="O268" i="14"/>
  <c r="N266" i="14"/>
  <c r="M266" i="14"/>
  <c r="M264" i="14" s="1"/>
  <c r="L266" i="14"/>
  <c r="L264" i="14" s="1"/>
  <c r="P265" i="14"/>
  <c r="O265" i="14"/>
  <c r="P262" i="14"/>
  <c r="O262" i="14"/>
  <c r="N262" i="14"/>
  <c r="M262" i="14"/>
  <c r="L262" i="14"/>
  <c r="J260" i="14"/>
  <c r="K258" i="14"/>
  <c r="K257" i="14"/>
  <c r="I255" i="14"/>
  <c r="K255" i="14" s="1"/>
  <c r="L253" i="14"/>
  <c r="L252" i="14"/>
  <c r="L251" i="14"/>
  <c r="L250" i="14"/>
  <c r="P249" i="14"/>
  <c r="N249" i="14"/>
  <c r="J248" i="14"/>
  <c r="K247" i="14"/>
  <c r="K246" i="14"/>
  <c r="I244" i="14"/>
  <c r="K244" i="14" s="1"/>
  <c r="L242" i="14"/>
  <c r="L241" i="14"/>
  <c r="L240" i="14"/>
  <c r="L239" i="14"/>
  <c r="P238" i="14"/>
  <c r="N238" i="14"/>
  <c r="J237" i="14"/>
  <c r="J236" i="14"/>
  <c r="I236" i="14"/>
  <c r="K236" i="14" s="1"/>
  <c r="J235" i="14"/>
  <c r="I235" i="14"/>
  <c r="K235" i="14" s="1"/>
  <c r="J233" i="14"/>
  <c r="N231" i="14"/>
  <c r="N230" i="14"/>
  <c r="N229" i="14"/>
  <c r="N228" i="14"/>
  <c r="N227" i="14"/>
  <c r="J226" i="14"/>
  <c r="I225" i="14"/>
  <c r="I224" i="14"/>
  <c r="I216" i="14" s="1"/>
  <c r="K216" i="14" s="1"/>
  <c r="I223" i="14"/>
  <c r="K223" i="14" s="1"/>
  <c r="L220" i="14"/>
  <c r="L219" i="14"/>
  <c r="L218" i="14"/>
  <c r="P217" i="14"/>
  <c r="N217" i="14"/>
  <c r="J216" i="14"/>
  <c r="I215" i="14"/>
  <c r="I208" i="14" s="1"/>
  <c r="K208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I197" i="14" s="1"/>
  <c r="L202" i="14"/>
  <c r="L201" i="14"/>
  <c r="L200" i="14"/>
  <c r="L199" i="14"/>
  <c r="P198" i="14"/>
  <c r="N198" i="14"/>
  <c r="J197" i="14"/>
  <c r="J194" i="14"/>
  <c r="I193" i="14"/>
  <c r="I190" i="14" s="1"/>
  <c r="P191" i="14"/>
  <c r="L191" i="14"/>
  <c r="O191" i="14" s="1"/>
  <c r="J190" i="14"/>
  <c r="N189" i="14"/>
  <c r="N187" i="14" s="1"/>
  <c r="M189" i="14"/>
  <c r="L189" i="14"/>
  <c r="L187" i="14" s="1"/>
  <c r="O187" i="14" s="1"/>
  <c r="P188" i="14"/>
  <c r="O188" i="14"/>
  <c r="N186" i="14"/>
  <c r="N184" i="14" s="1"/>
  <c r="M186" i="14"/>
  <c r="M184" i="14" s="1"/>
  <c r="L186" i="14"/>
  <c r="L184" i="14" s="1"/>
  <c r="P185" i="14"/>
  <c r="O185" i="14"/>
  <c r="N182" i="14"/>
  <c r="M182" i="14"/>
  <c r="P182" i="14" s="1"/>
  <c r="L182" i="14"/>
  <c r="O182" i="14" s="1"/>
  <c r="J180" i="14"/>
  <c r="J177" i="14"/>
  <c r="I176" i="14"/>
  <c r="K176" i="14" s="1"/>
  <c r="J174" i="14"/>
  <c r="N173" i="14"/>
  <c r="N171" i="14" s="1"/>
  <c r="M173" i="14"/>
  <c r="P173" i="14" s="1"/>
  <c r="L173" i="14"/>
  <c r="O173" i="14" s="1"/>
  <c r="P172" i="14"/>
  <c r="O172" i="14"/>
  <c r="N170" i="14"/>
  <c r="N168" i="14" s="1"/>
  <c r="M170" i="14"/>
  <c r="M168" i="14" s="1"/>
  <c r="L170" i="14"/>
  <c r="L168" i="14" s="1"/>
  <c r="P169" i="14"/>
  <c r="O169" i="14"/>
  <c r="N166" i="14"/>
  <c r="M166" i="14"/>
  <c r="P166" i="14" s="1"/>
  <c r="L166" i="14"/>
  <c r="O166" i="14" s="1"/>
  <c r="J164" i="14"/>
  <c r="I159" i="14"/>
  <c r="N157" i="14"/>
  <c r="N155" i="14" s="1"/>
  <c r="M157" i="14"/>
  <c r="M155" i="14" s="1"/>
  <c r="P155" i="14" s="1"/>
  <c r="L157" i="14"/>
  <c r="O157" i="14" s="1"/>
  <c r="P156" i="14"/>
  <c r="O156" i="14"/>
  <c r="N154" i="14"/>
  <c r="N152" i="14" s="1"/>
  <c r="M154" i="14"/>
  <c r="M152" i="14" s="1"/>
  <c r="L154" i="14"/>
  <c r="P153" i="14"/>
  <c r="O153" i="14"/>
  <c r="P150" i="14"/>
  <c r="N150" i="14"/>
  <c r="M150" i="14"/>
  <c r="L150" i="14"/>
  <c r="O150" i="14" s="1"/>
  <c r="J148" i="14"/>
  <c r="I146" i="14"/>
  <c r="I130" i="14" s="1"/>
  <c r="K130" i="14" s="1"/>
  <c r="I145" i="14"/>
  <c r="I143" i="14" s="1"/>
  <c r="I144" i="14"/>
  <c r="N140" i="14"/>
  <c r="N138" i="14" s="1"/>
  <c r="M140" i="14"/>
  <c r="M138" i="14" s="1"/>
  <c r="P138" i="14" s="1"/>
  <c r="L140" i="14"/>
  <c r="O140" i="14" s="1"/>
  <c r="P139" i="14"/>
  <c r="O139" i="14"/>
  <c r="N137" i="14"/>
  <c r="M137" i="14"/>
  <c r="M135" i="14" s="1"/>
  <c r="P135" i="14" s="1"/>
  <c r="L137" i="14"/>
  <c r="P136" i="14"/>
  <c r="O136" i="14"/>
  <c r="P133" i="14"/>
  <c r="N133" i="14"/>
  <c r="M133" i="14"/>
  <c r="L133" i="14"/>
  <c r="O133" i="14" s="1"/>
  <c r="J130" i="14"/>
  <c r="N127" i="14"/>
  <c r="N125" i="14" s="1"/>
  <c r="M127" i="14"/>
  <c r="M125" i="14" s="1"/>
  <c r="P125" i="14" s="1"/>
  <c r="L127" i="14"/>
  <c r="L125" i="14" s="1"/>
  <c r="O125" i="14" s="1"/>
  <c r="P126" i="14"/>
  <c r="O126" i="14"/>
  <c r="N124" i="14"/>
  <c r="M124" i="14"/>
  <c r="M122" i="14" s="1"/>
  <c r="P122" i="14" s="1"/>
  <c r="L124" i="14"/>
  <c r="O124" i="14" s="1"/>
  <c r="P123" i="14"/>
  <c r="O123" i="14"/>
  <c r="P120" i="14"/>
  <c r="N120" i="14"/>
  <c r="M120" i="14"/>
  <c r="L120" i="14"/>
  <c r="O120" i="14" s="1"/>
  <c r="I116" i="14"/>
  <c r="K116" i="14" s="1"/>
  <c r="I115" i="14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J99" i="14"/>
  <c r="I99" i="14"/>
  <c r="J98" i="14"/>
  <c r="I98" i="14"/>
  <c r="N96" i="14"/>
  <c r="N94" i="14" s="1"/>
  <c r="M96" i="14"/>
  <c r="P96" i="14" s="1"/>
  <c r="L96" i="14"/>
  <c r="P95" i="14"/>
  <c r="O95" i="14"/>
  <c r="N93" i="14"/>
  <c r="N91" i="14" s="1"/>
  <c r="M93" i="14"/>
  <c r="M91" i="14" s="1"/>
  <c r="L93" i="14"/>
  <c r="P92" i="14"/>
  <c r="O92" i="14"/>
  <c r="P89" i="14"/>
  <c r="N89" i="14"/>
  <c r="M89" i="14"/>
  <c r="L89" i="14"/>
  <c r="O89" i="14" s="1"/>
  <c r="J87" i="14"/>
  <c r="J86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K79" i="14" s="1"/>
  <c r="I78" i="14"/>
  <c r="K78" i="14" s="1"/>
  <c r="J77" i="14"/>
  <c r="J76" i="14"/>
  <c r="N74" i="14"/>
  <c r="N72" i="14" s="1"/>
  <c r="M74" i="14"/>
  <c r="M72" i="14" s="1"/>
  <c r="P72" i="14" s="1"/>
  <c r="L74" i="14"/>
  <c r="O74" i="14" s="1"/>
  <c r="P73" i="14"/>
  <c r="O73" i="14"/>
  <c r="N71" i="14"/>
  <c r="M71" i="14"/>
  <c r="L71" i="14"/>
  <c r="O71" i="14" s="1"/>
  <c r="P70" i="14"/>
  <c r="O70" i="14"/>
  <c r="O67" i="14"/>
  <c r="N67" i="14"/>
  <c r="M67" i="14"/>
  <c r="L67" i="14"/>
  <c r="J65" i="14"/>
  <c r="J64" i="14"/>
  <c r="N61" i="14"/>
  <c r="N59" i="14" s="1"/>
  <c r="M61" i="14"/>
  <c r="M59" i="14" s="1"/>
  <c r="L61" i="14"/>
  <c r="O61" i="14" s="1"/>
  <c r="P60" i="14"/>
  <c r="O60" i="14"/>
  <c r="N58" i="14"/>
  <c r="N56" i="14" s="1"/>
  <c r="M58" i="14"/>
  <c r="M56" i="14" s="1"/>
  <c r="L58" i="14"/>
  <c r="P57" i="14"/>
  <c r="O57" i="14"/>
  <c r="P54" i="14"/>
  <c r="N54" i="14"/>
  <c r="M54" i="14"/>
  <c r="L54" i="14"/>
  <c r="O54" i="14" s="1"/>
  <c r="N49" i="14"/>
  <c r="N47" i="14" s="1"/>
  <c r="M49" i="14"/>
  <c r="M47" i="14" s="1"/>
  <c r="P47" i="14" s="1"/>
  <c r="L49" i="14"/>
  <c r="L47" i="14" s="1"/>
  <c r="O47" i="14" s="1"/>
  <c r="P48" i="14"/>
  <c r="O48" i="14"/>
  <c r="N46" i="14"/>
  <c r="N44" i="14" s="1"/>
  <c r="M46" i="14"/>
  <c r="M44" i="14" s="1"/>
  <c r="L46" i="14"/>
  <c r="L44" i="14" s="1"/>
  <c r="P45" i="14"/>
  <c r="O45" i="14"/>
  <c r="O42" i="14"/>
  <c r="N42" i="14"/>
  <c r="M42" i="14"/>
  <c r="P42" i="14" s="1"/>
  <c r="L42" i="14"/>
  <c r="P36" i="14"/>
  <c r="N36" i="14"/>
  <c r="M36" i="14"/>
  <c r="N35" i="14"/>
  <c r="M35" i="14"/>
  <c r="P35" i="14" s="1"/>
  <c r="L35" i="14"/>
  <c r="N34" i="14"/>
  <c r="M34" i="14"/>
  <c r="P34" i="14" s="1"/>
  <c r="N33" i="14"/>
  <c r="N32" i="14"/>
  <c r="M32" i="14"/>
  <c r="P32" i="14" s="1"/>
  <c r="L32" i="14"/>
  <c r="N31" i="14"/>
  <c r="N30" i="14"/>
  <c r="N29" i="14"/>
  <c r="N28" i="14" s="1"/>
  <c r="N25" i="14"/>
  <c r="M25" i="14"/>
  <c r="P25" i="14" s="1"/>
  <c r="L25" i="14"/>
  <c r="P22" i="14"/>
  <c r="N22" i="14"/>
  <c r="N19" i="14" s="1"/>
  <c r="M22" i="14"/>
  <c r="L22" i="14"/>
  <c r="M19" i="14"/>
  <c r="P19" i="14" s="1"/>
  <c r="P15" i="14"/>
  <c r="N15" i="14"/>
  <c r="M15" i="14"/>
  <c r="M12" i="14"/>
  <c r="P12" i="14" s="1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N815" i="13"/>
  <c r="M815" i="13"/>
  <c r="L815" i="13"/>
  <c r="O815" i="13" s="1"/>
  <c r="P810" i="13"/>
  <c r="O810" i="13"/>
  <c r="N810" i="13"/>
  <c r="N807" i="13" s="1"/>
  <c r="P809" i="13"/>
  <c r="O809" i="13"/>
  <c r="P808" i="13"/>
  <c r="O808" i="13"/>
  <c r="N808" i="13"/>
  <c r="M808" i="13"/>
  <c r="L808" i="13"/>
  <c r="O807" i="13"/>
  <c r="M807" i="13"/>
  <c r="L807" i="13"/>
  <c r="N806" i="13"/>
  <c r="N805" i="13" s="1"/>
  <c r="M806" i="13"/>
  <c r="P806" i="13" s="1"/>
  <c r="L806" i="13"/>
  <c r="K804" i="13"/>
  <c r="J804" i="13"/>
  <c r="K802" i="13"/>
  <c r="J801" i="13"/>
  <c r="J800" i="13"/>
  <c r="J785" i="13" s="1"/>
  <c r="I800" i="13"/>
  <c r="P798" i="13"/>
  <c r="O798" i="13"/>
  <c r="P797" i="13"/>
  <c r="O797" i="13"/>
  <c r="O796" i="13"/>
  <c r="N796" i="13"/>
  <c r="M796" i="13"/>
  <c r="P796" i="13" s="1"/>
  <c r="L796" i="13"/>
  <c r="P791" i="13"/>
  <c r="N791" i="13"/>
  <c r="N788" i="13" s="1"/>
  <c r="L791" i="13"/>
  <c r="L789" i="13" s="1"/>
  <c r="O789" i="13" s="1"/>
  <c r="P790" i="13"/>
  <c r="O790" i="13"/>
  <c r="P789" i="13"/>
  <c r="M789" i="13"/>
  <c r="M788" i="13"/>
  <c r="N787" i="13"/>
  <c r="M787" i="13"/>
  <c r="P787" i="13" s="1"/>
  <c r="L787" i="13"/>
  <c r="P782" i="13"/>
  <c r="O782" i="13"/>
  <c r="P781" i="13"/>
  <c r="O781" i="13"/>
  <c r="N780" i="13"/>
  <c r="M780" i="13"/>
  <c r="P780" i="13" s="1"/>
  <c r="L780" i="13"/>
  <c r="O780" i="13" s="1"/>
  <c r="P775" i="13"/>
  <c r="O775" i="13"/>
  <c r="N775" i="13"/>
  <c r="P774" i="13"/>
  <c r="O774" i="13"/>
  <c r="O773" i="13"/>
  <c r="N773" i="13"/>
  <c r="M773" i="13"/>
  <c r="P773" i="13" s="1"/>
  <c r="L773" i="13"/>
  <c r="P772" i="13"/>
  <c r="N772" i="13"/>
  <c r="N770" i="13" s="1"/>
  <c r="M772" i="13"/>
  <c r="L772" i="13"/>
  <c r="O772" i="13" s="1"/>
  <c r="O771" i="13"/>
  <c r="N771" i="13"/>
  <c r="M771" i="13"/>
  <c r="L771" i="13"/>
  <c r="L770" i="13"/>
  <c r="O770" i="13" s="1"/>
  <c r="K769" i="13"/>
  <c r="J769" i="13"/>
  <c r="P766" i="13"/>
  <c r="O766" i="13"/>
  <c r="P765" i="13"/>
  <c r="O765" i="13"/>
  <c r="O764" i="13"/>
  <c r="N764" i="13"/>
  <c r="M764" i="13"/>
  <c r="P764" i="13" s="1"/>
  <c r="L764" i="13"/>
  <c r="P759" i="13"/>
  <c r="O759" i="13"/>
  <c r="N759" i="13"/>
  <c r="P758" i="13"/>
  <c r="O758" i="13"/>
  <c r="O757" i="13"/>
  <c r="N757" i="13"/>
  <c r="M757" i="13"/>
  <c r="P757" i="13" s="1"/>
  <c r="L757" i="13"/>
  <c r="P756" i="13"/>
  <c r="N756" i="13"/>
  <c r="N754" i="13" s="1"/>
  <c r="M756" i="13"/>
  <c r="L756" i="13"/>
  <c r="O756" i="13" s="1"/>
  <c r="O755" i="13"/>
  <c r="N755" i="13"/>
  <c r="M755" i="13"/>
  <c r="L755" i="13"/>
  <c r="L754" i="13"/>
  <c r="O754" i="13" s="1"/>
  <c r="K753" i="13"/>
  <c r="J753" i="13"/>
  <c r="P749" i="13"/>
  <c r="O749" i="13"/>
  <c r="P748" i="13"/>
  <c r="O748" i="13"/>
  <c r="O747" i="13"/>
  <c r="N747" i="13"/>
  <c r="M747" i="13"/>
  <c r="P747" i="13" s="1"/>
  <c r="L747" i="13"/>
  <c r="P742" i="13"/>
  <c r="O742" i="13"/>
  <c r="N742" i="13"/>
  <c r="P741" i="13"/>
  <c r="O741" i="13"/>
  <c r="O740" i="13"/>
  <c r="N740" i="13"/>
  <c r="M740" i="13"/>
  <c r="P740" i="13" s="1"/>
  <c r="L740" i="13"/>
  <c r="P739" i="13"/>
  <c r="N739" i="13"/>
  <c r="N737" i="13" s="1"/>
  <c r="M739" i="13"/>
  <c r="L739" i="13"/>
  <c r="O739" i="13" s="1"/>
  <c r="O738" i="13"/>
  <c r="N738" i="13"/>
  <c r="M738" i="13"/>
  <c r="L738" i="13"/>
  <c r="L737" i="13"/>
  <c r="O737" i="13" s="1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N695" i="13"/>
  <c r="M695" i="13"/>
  <c r="P695" i="13" s="1"/>
  <c r="L695" i="13"/>
  <c r="O695" i="13" s="1"/>
  <c r="P690" i="13"/>
  <c r="N690" i="13"/>
  <c r="L690" i="13"/>
  <c r="O690" i="13" s="1"/>
  <c r="P688" i="13"/>
  <c r="N688" i="13"/>
  <c r="M688" i="13"/>
  <c r="N687" i="13"/>
  <c r="M687" i="13"/>
  <c r="N686" i="13"/>
  <c r="N685" i="13" s="1"/>
  <c r="M686" i="13"/>
  <c r="P686" i="13" s="1"/>
  <c r="L686" i="13"/>
  <c r="J679" i="13"/>
  <c r="J678" i="13" s="1"/>
  <c r="I678" i="13"/>
  <c r="K678" i="13" s="1"/>
  <c r="J675" i="13"/>
  <c r="J669" i="13" s="1"/>
  <c r="J654" i="13" s="1"/>
  <c r="I671" i="13"/>
  <c r="K671" i="13" s="1"/>
  <c r="I670" i="13"/>
  <c r="K670" i="13" s="1"/>
  <c r="I669" i="13"/>
  <c r="K673" i="13" s="1"/>
  <c r="P667" i="13"/>
  <c r="O667" i="13"/>
  <c r="P666" i="13"/>
  <c r="O666" i="13"/>
  <c r="N665" i="13"/>
  <c r="M665" i="13"/>
  <c r="P665" i="13" s="1"/>
  <c r="L665" i="13"/>
  <c r="O665" i="13" s="1"/>
  <c r="N660" i="13"/>
  <c r="L660" i="13"/>
  <c r="O660" i="13" s="1"/>
  <c r="P659" i="13"/>
  <c r="O659" i="13"/>
  <c r="N658" i="13"/>
  <c r="N657" i="13"/>
  <c r="N655" i="13" s="1"/>
  <c r="P656" i="13"/>
  <c r="N656" i="13"/>
  <c r="M656" i="13"/>
  <c r="L656" i="13"/>
  <c r="O656" i="13" s="1"/>
  <c r="K652" i="13"/>
  <c r="J652" i="13"/>
  <c r="J651" i="13"/>
  <c r="J628" i="13" s="1"/>
  <c r="I651" i="13"/>
  <c r="I628" i="13" s="1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P640" i="13"/>
  <c r="O640" i="13"/>
  <c r="P639" i="13"/>
  <c r="N639" i="13"/>
  <c r="M639" i="13"/>
  <c r="L639" i="13"/>
  <c r="O639" i="13" s="1"/>
  <c r="N634" i="13"/>
  <c r="L634" i="13"/>
  <c r="M634" i="13" s="1"/>
  <c r="P633" i="13"/>
  <c r="O633" i="13"/>
  <c r="N631" i="13"/>
  <c r="O630" i="13"/>
  <c r="N630" i="13"/>
  <c r="M630" i="13"/>
  <c r="L630" i="13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4" i="13" s="1"/>
  <c r="J595" i="13"/>
  <c r="I594" i="13"/>
  <c r="J593" i="13"/>
  <c r="J592" i="13" s="1"/>
  <c r="I593" i="13"/>
  <c r="I592" i="13" s="1"/>
  <c r="J583" i="13"/>
  <c r="J577" i="13" s="1"/>
  <c r="J582" i="13"/>
  <c r="J576" i="13" s="1"/>
  <c r="J559" i="13" s="1"/>
  <c r="I577" i="13"/>
  <c r="I576" i="13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P556" i="13"/>
  <c r="O556" i="13"/>
  <c r="N555" i="13"/>
  <c r="M555" i="13"/>
  <c r="N549" i="13"/>
  <c r="N547" i="13" s="1"/>
  <c r="L549" i="13"/>
  <c r="P548" i="13"/>
  <c r="O548" i="13"/>
  <c r="N546" i="13"/>
  <c r="N545" i="13"/>
  <c r="N544" i="13" s="1"/>
  <c r="L545" i="13"/>
  <c r="O545" i="13" s="1"/>
  <c r="J543" i="13"/>
  <c r="I542" i="13"/>
  <c r="K542" i="13" s="1"/>
  <c r="I541" i="13"/>
  <c r="K541" i="13" s="1"/>
  <c r="I540" i="13"/>
  <c r="K540" i="13" s="1"/>
  <c r="I539" i="13"/>
  <c r="I538" i="13"/>
  <c r="K538" i="13" s="1"/>
  <c r="I537" i="13"/>
  <c r="I522" i="13" s="1"/>
  <c r="P535" i="13"/>
  <c r="L535" i="13"/>
  <c r="P534" i="13"/>
  <c r="O534" i="13"/>
  <c r="N533" i="13"/>
  <c r="M533" i="13"/>
  <c r="P533" i="13" s="1"/>
  <c r="N528" i="13"/>
  <c r="L528" i="13"/>
  <c r="O528" i="13" s="1"/>
  <c r="P527" i="13"/>
  <c r="O527" i="13"/>
  <c r="N526" i="13"/>
  <c r="N525" i="13"/>
  <c r="N523" i="13" s="1"/>
  <c r="P524" i="13"/>
  <c r="N524" i="13"/>
  <c r="M524" i="13"/>
  <c r="L524" i="13"/>
  <c r="O524" i="13" s="1"/>
  <c r="K517" i="13"/>
  <c r="J517" i="13"/>
  <c r="K516" i="13"/>
  <c r="P514" i="13"/>
  <c r="O514" i="13"/>
  <c r="P513" i="13"/>
  <c r="O513" i="13"/>
  <c r="N512" i="13"/>
  <c r="M512" i="13"/>
  <c r="P512" i="13" s="1"/>
  <c r="L512" i="13"/>
  <c r="O512" i="13" s="1"/>
  <c r="P507" i="13"/>
  <c r="O507" i="13"/>
  <c r="N507" i="13"/>
  <c r="N504" i="13" s="1"/>
  <c r="P506" i="13"/>
  <c r="O506" i="13"/>
  <c r="P505" i="13"/>
  <c r="M505" i="13"/>
  <c r="L505" i="13"/>
  <c r="O505" i="13" s="1"/>
  <c r="P504" i="13"/>
  <c r="O504" i="13"/>
  <c r="M504" i="13"/>
  <c r="L504" i="13"/>
  <c r="L502" i="13" s="1"/>
  <c r="O502" i="13" s="1"/>
  <c r="P503" i="13"/>
  <c r="O503" i="13"/>
  <c r="N503" i="13"/>
  <c r="N502" i="13" s="1"/>
  <c r="M503" i="13"/>
  <c r="L503" i="13"/>
  <c r="M502" i="13"/>
  <c r="P502" i="13" s="1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O479" i="13" s="1"/>
  <c r="P478" i="13"/>
  <c r="O478" i="13"/>
  <c r="N477" i="13"/>
  <c r="M477" i="13"/>
  <c r="P477" i="13" s="1"/>
  <c r="N472" i="13"/>
  <c r="L472" i="13"/>
  <c r="P471" i="13"/>
  <c r="O471" i="13"/>
  <c r="N470" i="13"/>
  <c r="N469" i="13"/>
  <c r="P468" i="13"/>
  <c r="O468" i="13"/>
  <c r="N468" i="13"/>
  <c r="M468" i="13"/>
  <c r="L468" i="13"/>
  <c r="N467" i="13"/>
  <c r="J466" i="13"/>
  <c r="I466" i="13"/>
  <c r="J465" i="13"/>
  <c r="I465" i="13"/>
  <c r="K465" i="13" s="1"/>
  <c r="I464" i="13"/>
  <c r="I463" i="13"/>
  <c r="I462" i="13"/>
  <c r="I460" i="13"/>
  <c r="K460" i="13" s="1"/>
  <c r="K458" i="13"/>
  <c r="P456" i="13"/>
  <c r="L456" i="13"/>
  <c r="P455" i="13"/>
  <c r="O455" i="13"/>
  <c r="N454" i="13"/>
  <c r="M454" i="13"/>
  <c r="P454" i="13" s="1"/>
  <c r="N449" i="13"/>
  <c r="N447" i="13" s="1"/>
  <c r="L449" i="13"/>
  <c r="L446" i="13" s="1"/>
  <c r="P448" i="13"/>
  <c r="O448" i="13"/>
  <c r="N446" i="13"/>
  <c r="O445" i="13"/>
  <c r="N445" i="13"/>
  <c r="N444" i="13" s="1"/>
  <c r="M445" i="13"/>
  <c r="P445" i="13" s="1"/>
  <c r="L445" i="13"/>
  <c r="J443" i="13"/>
  <c r="J442" i="13"/>
  <c r="I441" i="13"/>
  <c r="K441" i="13" s="1"/>
  <c r="I440" i="13"/>
  <c r="K440" i="13" s="1"/>
  <c r="I439" i="13"/>
  <c r="K439" i="13" s="1"/>
  <c r="I438" i="13"/>
  <c r="I437" i="13"/>
  <c r="K437" i="13" s="1"/>
  <c r="I435" i="13"/>
  <c r="J434" i="13"/>
  <c r="J418" i="13" s="1"/>
  <c r="P431" i="13"/>
  <c r="L431" i="13"/>
  <c r="P430" i="13"/>
  <c r="O430" i="13"/>
  <c r="P429" i="13"/>
  <c r="N429" i="13"/>
  <c r="M429" i="13"/>
  <c r="N424" i="13"/>
  <c r="L424" i="13"/>
  <c r="L422" i="13" s="1"/>
  <c r="P423" i="13"/>
  <c r="O423" i="13"/>
  <c r="N422" i="13"/>
  <c r="N421" i="13"/>
  <c r="N420" i="13"/>
  <c r="N419" i="13" s="1"/>
  <c r="M420" i="13"/>
  <c r="P420" i="13" s="1"/>
  <c r="L420" i="13"/>
  <c r="K413" i="13"/>
  <c r="K412" i="13"/>
  <c r="N410" i="13"/>
  <c r="N408" i="13" s="1"/>
  <c r="M410" i="13"/>
  <c r="P410" i="13" s="1"/>
  <c r="L410" i="13"/>
  <c r="P409" i="13"/>
  <c r="O409" i="13"/>
  <c r="N407" i="13"/>
  <c r="N405" i="13" s="1"/>
  <c r="M407" i="13"/>
  <c r="P407" i="13" s="1"/>
  <c r="L407" i="13"/>
  <c r="P406" i="13"/>
  <c r="O406" i="13"/>
  <c r="P403" i="13"/>
  <c r="N403" i="13"/>
  <c r="M403" i="13"/>
  <c r="L403" i="13"/>
  <c r="O403" i="13" s="1"/>
  <c r="J401" i="13"/>
  <c r="I401" i="13"/>
  <c r="K401" i="13" s="1"/>
  <c r="K400" i="13"/>
  <c r="K399" i="13"/>
  <c r="N397" i="13"/>
  <c r="N395" i="13" s="1"/>
  <c r="M397" i="13"/>
  <c r="L397" i="13"/>
  <c r="L395" i="13" s="1"/>
  <c r="O395" i="13" s="1"/>
  <c r="P396" i="13"/>
  <c r="O396" i="13"/>
  <c r="N394" i="13"/>
  <c r="M394" i="13"/>
  <c r="L394" i="13"/>
  <c r="L392" i="13" s="1"/>
  <c r="O392" i="13" s="1"/>
  <c r="P393" i="13"/>
  <c r="O393" i="13"/>
  <c r="N390" i="13"/>
  <c r="M390" i="13"/>
  <c r="P390" i="13" s="1"/>
  <c r="L390" i="13"/>
  <c r="K388" i="13"/>
  <c r="J388" i="13"/>
  <c r="I388" i="13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M353" i="13"/>
  <c r="L353" i="13"/>
  <c r="L351" i="13" s="1"/>
  <c r="P352" i="13"/>
  <c r="O352" i="13"/>
  <c r="N350" i="13"/>
  <c r="N348" i="13" s="1"/>
  <c r="M350" i="13"/>
  <c r="L350" i="13"/>
  <c r="L348" i="13" s="1"/>
  <c r="P349" i="13"/>
  <c r="O349" i="13"/>
  <c r="P346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M334" i="13" s="1"/>
  <c r="P334" i="13" s="1"/>
  <c r="L336" i="13"/>
  <c r="L334" i="13" s="1"/>
  <c r="O334" i="13" s="1"/>
  <c r="P335" i="13"/>
  <c r="O335" i="13"/>
  <c r="N333" i="13"/>
  <c r="N331" i="13" s="1"/>
  <c r="M333" i="13"/>
  <c r="M331" i="13" s="1"/>
  <c r="L333" i="13"/>
  <c r="P332" i="13"/>
  <c r="O332" i="13"/>
  <c r="P329" i="13"/>
  <c r="O329" i="13"/>
  <c r="N329" i="13"/>
  <c r="M329" i="13"/>
  <c r="L329" i="13"/>
  <c r="I327" i="13"/>
  <c r="I325" i="13"/>
  <c r="K325" i="13" s="1"/>
  <c r="N323" i="13"/>
  <c r="N321" i="13" s="1"/>
  <c r="M323" i="13"/>
  <c r="L323" i="13"/>
  <c r="P322" i="13"/>
  <c r="O322" i="13"/>
  <c r="N320" i="13"/>
  <c r="N318" i="13" s="1"/>
  <c r="M320" i="13"/>
  <c r="M318" i="13" s="1"/>
  <c r="L320" i="13"/>
  <c r="L318" i="13" s="1"/>
  <c r="P319" i="13"/>
  <c r="O319" i="13"/>
  <c r="P316" i="13"/>
  <c r="N316" i="13"/>
  <c r="M316" i="13"/>
  <c r="L316" i="13"/>
  <c r="O316" i="13" s="1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L306" i="13"/>
  <c r="P305" i="13"/>
  <c r="O305" i="13"/>
  <c r="N303" i="13"/>
  <c r="M303" i="13"/>
  <c r="M301" i="13" s="1"/>
  <c r="L303" i="13"/>
  <c r="L301" i="13" s="1"/>
  <c r="P302" i="13"/>
  <c r="O302" i="13"/>
  <c r="O299" i="13"/>
  <c r="N299" i="13"/>
  <c r="M299" i="13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J288" i="13" s="1"/>
  <c r="J275" i="13" s="1"/>
  <c r="I287" i="13"/>
  <c r="K287" i="13" s="1"/>
  <c r="N285" i="13"/>
  <c r="N283" i="13" s="1"/>
  <c r="M285" i="13"/>
  <c r="L285" i="13"/>
  <c r="O285" i="13" s="1"/>
  <c r="P284" i="13"/>
  <c r="O284" i="13"/>
  <c r="N282" i="13"/>
  <c r="N280" i="13" s="1"/>
  <c r="M282" i="13"/>
  <c r="P282" i="13" s="1"/>
  <c r="L282" i="13"/>
  <c r="P281" i="13"/>
  <c r="O281" i="13"/>
  <c r="O278" i="13"/>
  <c r="N278" i="13"/>
  <c r="M278" i="13"/>
  <c r="L278" i="13"/>
  <c r="J276" i="13"/>
  <c r="I271" i="13"/>
  <c r="K271" i="13" s="1"/>
  <c r="N269" i="13"/>
  <c r="N267" i="13" s="1"/>
  <c r="M269" i="13"/>
  <c r="L269" i="13"/>
  <c r="O269" i="13" s="1"/>
  <c r="P268" i="13"/>
  <c r="O268" i="13"/>
  <c r="N266" i="13"/>
  <c r="N264" i="13" s="1"/>
  <c r="M266" i="13"/>
  <c r="L266" i="13"/>
  <c r="L264" i="13" s="1"/>
  <c r="P265" i="13"/>
  <c r="O265" i="13"/>
  <c r="N262" i="13"/>
  <c r="M262" i="13"/>
  <c r="L262" i="13"/>
  <c r="O262" i="13" s="1"/>
  <c r="J260" i="13"/>
  <c r="K258" i="13"/>
  <c r="K257" i="13"/>
  <c r="I255" i="13"/>
  <c r="I248" i="13" s="1"/>
  <c r="K248" i="13" s="1"/>
  <c r="L253" i="13"/>
  <c r="L252" i="13"/>
  <c r="L251" i="13"/>
  <c r="L250" i="13"/>
  <c r="P249" i="13"/>
  <c r="N249" i="13"/>
  <c r="J248" i="13"/>
  <c r="K247" i="13"/>
  <c r="K246" i="13"/>
  <c r="I244" i="13"/>
  <c r="K244" i="13" s="1"/>
  <c r="L242" i="13"/>
  <c r="L241" i="13"/>
  <c r="L240" i="13"/>
  <c r="L239" i="13"/>
  <c r="P238" i="13"/>
  <c r="N238" i="13"/>
  <c r="J237" i="13"/>
  <c r="J236" i="13"/>
  <c r="I236" i="13"/>
  <c r="K236" i="13" s="1"/>
  <c r="K235" i="13"/>
  <c r="J235" i="13"/>
  <c r="I235" i="13"/>
  <c r="J233" i="13"/>
  <c r="N231" i="13"/>
  <c r="N230" i="13"/>
  <c r="N229" i="13"/>
  <c r="N228" i="13"/>
  <c r="N227" i="13"/>
  <c r="J226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I214" i="13"/>
  <c r="K214" i="13" s="1"/>
  <c r="L212" i="13"/>
  <c r="L211" i="13"/>
  <c r="L210" i="13"/>
  <c r="P209" i="13"/>
  <c r="N209" i="13"/>
  <c r="J208" i="13"/>
  <c r="K207" i="13"/>
  <c r="K206" i="13"/>
  <c r="I204" i="13"/>
  <c r="I197" i="13" s="1"/>
  <c r="K197" i="13" s="1"/>
  <c r="L202" i="13"/>
  <c r="L201" i="13"/>
  <c r="L200" i="13"/>
  <c r="L199" i="13"/>
  <c r="P198" i="13"/>
  <c r="N198" i="13"/>
  <c r="J197" i="13"/>
  <c r="J194" i="13"/>
  <c r="I193" i="13"/>
  <c r="I190" i="13" s="1"/>
  <c r="K190" i="13" s="1"/>
  <c r="P191" i="13"/>
  <c r="L191" i="13"/>
  <c r="O191" i="13" s="1"/>
  <c r="J190" i="13"/>
  <c r="N189" i="13"/>
  <c r="N187" i="13" s="1"/>
  <c r="M189" i="13"/>
  <c r="P189" i="13" s="1"/>
  <c r="L189" i="13"/>
  <c r="O189" i="13" s="1"/>
  <c r="P188" i="13"/>
  <c r="O188" i="13"/>
  <c r="N186" i="13"/>
  <c r="N184" i="13" s="1"/>
  <c r="M186" i="13"/>
  <c r="M184" i="13" s="1"/>
  <c r="L186" i="13"/>
  <c r="P185" i="13"/>
  <c r="O185" i="13"/>
  <c r="P182" i="13"/>
  <c r="N182" i="13"/>
  <c r="M182" i="13"/>
  <c r="L182" i="13"/>
  <c r="O182" i="13" s="1"/>
  <c r="J180" i="13"/>
  <c r="J177" i="13"/>
  <c r="I176" i="13"/>
  <c r="K176" i="13" s="1"/>
  <c r="J174" i="13"/>
  <c r="N173" i="13"/>
  <c r="N171" i="13" s="1"/>
  <c r="M173" i="13"/>
  <c r="L173" i="13"/>
  <c r="L171" i="13" s="1"/>
  <c r="O171" i="13" s="1"/>
  <c r="P172" i="13"/>
  <c r="O172" i="13"/>
  <c r="N170" i="13"/>
  <c r="M170" i="13"/>
  <c r="L170" i="13"/>
  <c r="P169" i="13"/>
  <c r="O169" i="13"/>
  <c r="P166" i="13"/>
  <c r="N166" i="13"/>
  <c r="M166" i="13"/>
  <c r="L166" i="13"/>
  <c r="O166" i="13" s="1"/>
  <c r="J164" i="13"/>
  <c r="I159" i="13"/>
  <c r="N157" i="13"/>
  <c r="N155" i="13" s="1"/>
  <c r="M157" i="13"/>
  <c r="L157" i="13"/>
  <c r="O157" i="13" s="1"/>
  <c r="P156" i="13"/>
  <c r="O156" i="13"/>
  <c r="N154" i="13"/>
  <c r="N152" i="13" s="1"/>
  <c r="M154" i="13"/>
  <c r="M152" i="13" s="1"/>
  <c r="P152" i="13" s="1"/>
  <c r="L154" i="13"/>
  <c r="O154" i="13" s="1"/>
  <c r="P153" i="13"/>
  <c r="O153" i="13"/>
  <c r="P150" i="13"/>
  <c r="O150" i="13"/>
  <c r="N150" i="13"/>
  <c r="M150" i="13"/>
  <c r="L150" i="13"/>
  <c r="J148" i="13"/>
  <c r="I146" i="13"/>
  <c r="K146" i="13" s="1"/>
  <c r="I145" i="13"/>
  <c r="I143" i="13" s="1"/>
  <c r="I144" i="13"/>
  <c r="N140" i="13"/>
  <c r="N138" i="13" s="1"/>
  <c r="M140" i="13"/>
  <c r="L140" i="13"/>
  <c r="L138" i="13" s="1"/>
  <c r="P139" i="13"/>
  <c r="O139" i="13"/>
  <c r="N137" i="13"/>
  <c r="N135" i="13" s="1"/>
  <c r="M137" i="13"/>
  <c r="M135" i="13" s="1"/>
  <c r="L137" i="13"/>
  <c r="L135" i="13" s="1"/>
  <c r="P136" i="13"/>
  <c r="O136" i="13"/>
  <c r="N133" i="13"/>
  <c r="M133" i="13"/>
  <c r="L133" i="13"/>
  <c r="J130" i="13"/>
  <c r="N127" i="13"/>
  <c r="N125" i="13" s="1"/>
  <c r="M127" i="13"/>
  <c r="L127" i="13"/>
  <c r="P126" i="13"/>
  <c r="O126" i="13"/>
  <c r="N124" i="13"/>
  <c r="M124" i="13"/>
  <c r="M122" i="13" s="1"/>
  <c r="P122" i="13" s="1"/>
  <c r="L124" i="13"/>
  <c r="O124" i="13" s="1"/>
  <c r="P123" i="13"/>
  <c r="O123" i="13"/>
  <c r="P120" i="13"/>
  <c r="O120" i="13"/>
  <c r="N120" i="13"/>
  <c r="M120" i="13"/>
  <c r="L120" i="13"/>
  <c r="I116" i="13"/>
  <c r="K116" i="13" s="1"/>
  <c r="I115" i="13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J99" i="13"/>
  <c r="I99" i="13"/>
  <c r="K99" i="13" s="1"/>
  <c r="J98" i="13"/>
  <c r="I98" i="13"/>
  <c r="N96" i="13"/>
  <c r="N94" i="13" s="1"/>
  <c r="M96" i="13"/>
  <c r="P96" i="13" s="1"/>
  <c r="L96" i="13"/>
  <c r="O96" i="13" s="1"/>
  <c r="P95" i="13"/>
  <c r="O95" i="13"/>
  <c r="N93" i="13"/>
  <c r="M93" i="13"/>
  <c r="M91" i="13" s="1"/>
  <c r="L93" i="13"/>
  <c r="L91" i="13" s="1"/>
  <c r="P92" i="13"/>
  <c r="O92" i="13"/>
  <c r="P89" i="13"/>
  <c r="N89" i="13"/>
  <c r="M89" i="13"/>
  <c r="L89" i="13"/>
  <c r="O89" i="13" s="1"/>
  <c r="J87" i="13"/>
  <c r="J86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I78" i="13"/>
  <c r="J77" i="13"/>
  <c r="J76" i="13"/>
  <c r="J64" i="13" s="1"/>
  <c r="N74" i="13"/>
  <c r="N72" i="13" s="1"/>
  <c r="M74" i="13"/>
  <c r="L74" i="13"/>
  <c r="L72" i="13" s="1"/>
  <c r="O72" i="13" s="1"/>
  <c r="P73" i="13"/>
  <c r="O73" i="13"/>
  <c r="N71" i="13"/>
  <c r="N69" i="13" s="1"/>
  <c r="M71" i="13"/>
  <c r="M69" i="13" s="1"/>
  <c r="P69" i="13" s="1"/>
  <c r="L71" i="13"/>
  <c r="O71" i="13" s="1"/>
  <c r="P70" i="13"/>
  <c r="O70" i="13"/>
  <c r="O67" i="13"/>
  <c r="N67" i="13"/>
  <c r="M67" i="13"/>
  <c r="L67" i="13"/>
  <c r="J65" i="13"/>
  <c r="N61" i="13"/>
  <c r="M61" i="13"/>
  <c r="L61" i="13"/>
  <c r="L59" i="13" s="1"/>
  <c r="P60" i="13"/>
  <c r="O60" i="13"/>
  <c r="N58" i="13"/>
  <c r="M58" i="13"/>
  <c r="M56" i="13" s="1"/>
  <c r="L58" i="13"/>
  <c r="P57" i="13"/>
  <c r="O57" i="13"/>
  <c r="N54" i="13"/>
  <c r="M54" i="13"/>
  <c r="L54" i="13"/>
  <c r="N49" i="13"/>
  <c r="N47" i="13" s="1"/>
  <c r="M49" i="13"/>
  <c r="P49" i="13" s="1"/>
  <c r="L49" i="13"/>
  <c r="O49" i="13" s="1"/>
  <c r="P48" i="13"/>
  <c r="O48" i="13"/>
  <c r="N46" i="13"/>
  <c r="N44" i="13" s="1"/>
  <c r="M46" i="13"/>
  <c r="M44" i="13" s="1"/>
  <c r="L46" i="13"/>
  <c r="P45" i="13"/>
  <c r="O45" i="13"/>
  <c r="P42" i="13"/>
  <c r="O42" i="13"/>
  <c r="N42" i="13"/>
  <c r="M42" i="13"/>
  <c r="L42" i="13"/>
  <c r="P36" i="13"/>
  <c r="N36" i="13"/>
  <c r="M36" i="13"/>
  <c r="O35" i="13"/>
  <c r="N35" i="13"/>
  <c r="M35" i="13"/>
  <c r="P35" i="13" s="1"/>
  <c r="L35" i="13"/>
  <c r="M34" i="13"/>
  <c r="P34" i="13" s="1"/>
  <c r="N33" i="13"/>
  <c r="P32" i="13"/>
  <c r="N32" i="13"/>
  <c r="N31" i="13" s="1"/>
  <c r="M32" i="13"/>
  <c r="L32" i="13"/>
  <c r="N30" i="13"/>
  <c r="M29" i="13"/>
  <c r="P29" i="13" s="1"/>
  <c r="L29" i="13"/>
  <c r="P25" i="13"/>
  <c r="O25" i="13"/>
  <c r="N25" i="13"/>
  <c r="M25" i="13"/>
  <c r="L25" i="13"/>
  <c r="N22" i="13"/>
  <c r="M22" i="13"/>
  <c r="P22" i="13" s="1"/>
  <c r="L22" i="13"/>
  <c r="N19" i="13"/>
  <c r="M15" i="13"/>
  <c r="P15" i="13" s="1"/>
  <c r="L15" i="13"/>
  <c r="N12" i="13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N807" i="12" s="1"/>
  <c r="N805" i="12" s="1"/>
  <c r="P809" i="12"/>
  <c r="O809" i="12"/>
  <c r="P808" i="12"/>
  <c r="N808" i="12"/>
  <c r="M808" i="12"/>
  <c r="L808" i="12"/>
  <c r="O808" i="12" s="1"/>
  <c r="O807" i="12"/>
  <c r="M807" i="12"/>
  <c r="L807" i="12"/>
  <c r="P806" i="12"/>
  <c r="N806" i="12"/>
  <c r="M806" i="12"/>
  <c r="L806" i="12"/>
  <c r="K804" i="12"/>
  <c r="J804" i="12"/>
  <c r="K802" i="12"/>
  <c r="J801" i="12"/>
  <c r="J800" i="12"/>
  <c r="J785" i="12" s="1"/>
  <c r="I800" i="12"/>
  <c r="P798" i="12"/>
  <c r="O798" i="12"/>
  <c r="P797" i="12"/>
  <c r="O797" i="12"/>
  <c r="O796" i="12"/>
  <c r="N796" i="12"/>
  <c r="M796" i="12"/>
  <c r="P796" i="12" s="1"/>
  <c r="L796" i="12"/>
  <c r="P791" i="12"/>
  <c r="N791" i="12"/>
  <c r="N788" i="12" s="1"/>
  <c r="N786" i="12" s="1"/>
  <c r="L791" i="12"/>
  <c r="O791" i="12" s="1"/>
  <c r="P790" i="12"/>
  <c r="O790" i="12"/>
  <c r="P789" i="12"/>
  <c r="M789" i="12"/>
  <c r="M788" i="12"/>
  <c r="P787" i="12"/>
  <c r="N787" i="12"/>
  <c r="M787" i="12"/>
  <c r="L787" i="12"/>
  <c r="P782" i="12"/>
  <c r="O782" i="12"/>
  <c r="P781" i="12"/>
  <c r="O781" i="12"/>
  <c r="O780" i="12"/>
  <c r="N780" i="12"/>
  <c r="M780" i="12"/>
  <c r="P780" i="12" s="1"/>
  <c r="L780" i="12"/>
  <c r="P775" i="12"/>
  <c r="O775" i="12"/>
  <c r="N775" i="12"/>
  <c r="N773" i="12" s="1"/>
  <c r="P774" i="12"/>
  <c r="O774" i="12"/>
  <c r="O773" i="12"/>
  <c r="M773" i="12"/>
  <c r="P773" i="12" s="1"/>
  <c r="L773" i="12"/>
  <c r="P772" i="12"/>
  <c r="N772" i="12"/>
  <c r="N770" i="12" s="1"/>
  <c r="M772" i="12"/>
  <c r="L772" i="12"/>
  <c r="O772" i="12" s="1"/>
  <c r="O771" i="12"/>
  <c r="N771" i="12"/>
  <c r="M771" i="12"/>
  <c r="L771" i="12"/>
  <c r="L770" i="12"/>
  <c r="O770" i="12" s="1"/>
  <c r="K769" i="12"/>
  <c r="J769" i="12"/>
  <c r="P766" i="12"/>
  <c r="O766" i="12"/>
  <c r="P765" i="12"/>
  <c r="O765" i="12"/>
  <c r="O764" i="12"/>
  <c r="N764" i="12"/>
  <c r="M764" i="12"/>
  <c r="P764" i="12" s="1"/>
  <c r="L764" i="12"/>
  <c r="P759" i="12"/>
  <c r="O759" i="12"/>
  <c r="N759" i="12"/>
  <c r="N757" i="12" s="1"/>
  <c r="P758" i="12"/>
  <c r="O758" i="12"/>
  <c r="O757" i="12"/>
  <c r="M757" i="12"/>
  <c r="P757" i="12" s="1"/>
  <c r="L757" i="12"/>
  <c r="P756" i="12"/>
  <c r="N756" i="12"/>
  <c r="N754" i="12" s="1"/>
  <c r="M756" i="12"/>
  <c r="L756" i="12"/>
  <c r="O756" i="12" s="1"/>
  <c r="O755" i="12"/>
  <c r="N755" i="12"/>
  <c r="M755" i="12"/>
  <c r="L755" i="12"/>
  <c r="L754" i="12"/>
  <c r="O754" i="12" s="1"/>
  <c r="K753" i="12"/>
  <c r="J753" i="12"/>
  <c r="P749" i="12"/>
  <c r="O749" i="12"/>
  <c r="P748" i="12"/>
  <c r="O748" i="12"/>
  <c r="O747" i="12"/>
  <c r="N747" i="12"/>
  <c r="M747" i="12"/>
  <c r="P747" i="12" s="1"/>
  <c r="L747" i="12"/>
  <c r="P742" i="12"/>
  <c r="O742" i="12"/>
  <c r="N742" i="12"/>
  <c r="N740" i="12" s="1"/>
  <c r="P741" i="12"/>
  <c r="O741" i="12"/>
  <c r="O740" i="12"/>
  <c r="M740" i="12"/>
  <c r="P740" i="12" s="1"/>
  <c r="L740" i="12"/>
  <c r="P739" i="12"/>
  <c r="N739" i="12"/>
  <c r="N737" i="12" s="1"/>
  <c r="M739" i="12"/>
  <c r="L739" i="12"/>
  <c r="O739" i="12" s="1"/>
  <c r="O738" i="12"/>
  <c r="N738" i="12"/>
  <c r="M738" i="12"/>
  <c r="L738" i="12"/>
  <c r="L737" i="12"/>
  <c r="O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O695" i="12"/>
  <c r="N695" i="12"/>
  <c r="M695" i="12"/>
  <c r="P695" i="12" s="1"/>
  <c r="L695" i="12"/>
  <c r="P690" i="12"/>
  <c r="N690" i="12"/>
  <c r="N687" i="12" s="1"/>
  <c r="L690" i="12"/>
  <c r="O690" i="12" s="1"/>
  <c r="P688" i="12"/>
  <c r="N688" i="12"/>
  <c r="M688" i="12"/>
  <c r="M687" i="12"/>
  <c r="P686" i="12"/>
  <c r="N686" i="12"/>
  <c r="N685" i="12" s="1"/>
  <c r="M686" i="12"/>
  <c r="L686" i="12"/>
  <c r="J679" i="12"/>
  <c r="J678" i="12" s="1"/>
  <c r="I678" i="12"/>
  <c r="K678" i="12" s="1"/>
  <c r="J675" i="12"/>
  <c r="I671" i="12"/>
  <c r="K671" i="12" s="1"/>
  <c r="I670" i="12"/>
  <c r="K670" i="12" s="1"/>
  <c r="J669" i="12"/>
  <c r="J654" i="12" s="1"/>
  <c r="I669" i="12"/>
  <c r="K673" i="12" s="1"/>
  <c r="P667" i="12"/>
  <c r="O667" i="12"/>
  <c r="P666" i="12"/>
  <c r="O666" i="12"/>
  <c r="P665" i="12"/>
  <c r="N665" i="12"/>
  <c r="M665" i="12"/>
  <c r="L665" i="12"/>
  <c r="O665" i="12" s="1"/>
  <c r="P660" i="12"/>
  <c r="N660" i="12"/>
  <c r="L660" i="12"/>
  <c r="L658" i="12" s="1"/>
  <c r="O658" i="12" s="1"/>
  <c r="P659" i="12"/>
  <c r="O659" i="12"/>
  <c r="N658" i="12"/>
  <c r="M658" i="12"/>
  <c r="P658" i="12" s="1"/>
  <c r="P657" i="12"/>
  <c r="N657" i="12"/>
  <c r="M657" i="12"/>
  <c r="O656" i="12"/>
  <c r="N656" i="12"/>
  <c r="M656" i="12"/>
  <c r="M655" i="12" s="1"/>
  <c r="P655" i="12" s="1"/>
  <c r="L656" i="12"/>
  <c r="N655" i="12"/>
  <c r="K652" i="12"/>
  <c r="J652" i="12"/>
  <c r="J651" i="12"/>
  <c r="J628" i="12" s="1"/>
  <c r="I651" i="12"/>
  <c r="I628" i="12" s="1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P639" i="12"/>
  <c r="N639" i="12"/>
  <c r="M639" i="12"/>
  <c r="N634" i="12"/>
  <c r="L634" i="12"/>
  <c r="P633" i="12"/>
  <c r="O633" i="12"/>
  <c r="N632" i="12"/>
  <c r="N631" i="12"/>
  <c r="P630" i="12"/>
  <c r="N630" i="12"/>
  <c r="N629" i="12" s="1"/>
  <c r="M630" i="12"/>
  <c r="L630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5" i="12"/>
  <c r="J593" i="12" s="1"/>
  <c r="J592" i="12" s="1"/>
  <c r="J594" i="12"/>
  <c r="I594" i="12"/>
  <c r="K594" i="12" s="1"/>
  <c r="I593" i="12"/>
  <c r="J583" i="12"/>
  <c r="J577" i="12" s="1"/>
  <c r="J582" i="12"/>
  <c r="I577" i="12"/>
  <c r="K577" i="12" s="1"/>
  <c r="J576" i="12"/>
  <c r="J559" i="12" s="1"/>
  <c r="J543" i="12" s="1"/>
  <c r="I576" i="12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O557" i="12" s="1"/>
  <c r="P556" i="12"/>
  <c r="O556" i="12"/>
  <c r="P555" i="12"/>
  <c r="N555" i="12"/>
  <c r="M555" i="12"/>
  <c r="L555" i="12"/>
  <c r="O555" i="12" s="1"/>
  <c r="N549" i="12"/>
  <c r="L549" i="12"/>
  <c r="L547" i="12" s="1"/>
  <c r="O547" i="12" s="1"/>
  <c r="P548" i="12"/>
  <c r="O548" i="12"/>
  <c r="N547" i="12"/>
  <c r="N546" i="12"/>
  <c r="P545" i="12"/>
  <c r="N545" i="12"/>
  <c r="N544" i="12" s="1"/>
  <c r="M545" i="12"/>
  <c r="L545" i="12"/>
  <c r="O545" i="12" s="1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K537" i="12" s="1"/>
  <c r="P535" i="12"/>
  <c r="L535" i="12"/>
  <c r="O535" i="12" s="1"/>
  <c r="P534" i="12"/>
  <c r="O534" i="12"/>
  <c r="N533" i="12"/>
  <c r="M533" i="12"/>
  <c r="P533" i="12" s="1"/>
  <c r="P528" i="12"/>
  <c r="N528" i="12"/>
  <c r="N525" i="12" s="1"/>
  <c r="L528" i="12"/>
  <c r="O528" i="12" s="1"/>
  <c r="P527" i="12"/>
  <c r="O527" i="12"/>
  <c r="P526" i="12"/>
  <c r="N526" i="12"/>
  <c r="M526" i="12"/>
  <c r="M525" i="12"/>
  <c r="P525" i="12" s="1"/>
  <c r="P524" i="12"/>
  <c r="N524" i="12"/>
  <c r="M524" i="12"/>
  <c r="L524" i="12"/>
  <c r="M523" i="12"/>
  <c r="P523" i="12" s="1"/>
  <c r="K517" i="12"/>
  <c r="J517" i="12"/>
  <c r="J501" i="12" s="1"/>
  <c r="K516" i="12"/>
  <c r="P514" i="12"/>
  <c r="O514" i="12"/>
  <c r="P513" i="12"/>
  <c r="O513" i="12"/>
  <c r="P512" i="12"/>
  <c r="N512" i="12"/>
  <c r="M512" i="12"/>
  <c r="L512" i="12"/>
  <c r="O512" i="12" s="1"/>
  <c r="P507" i="12"/>
  <c r="O507" i="12"/>
  <c r="N507" i="12"/>
  <c r="N504" i="12" s="1"/>
  <c r="P506" i="12"/>
  <c r="O506" i="12"/>
  <c r="P505" i="12"/>
  <c r="N505" i="12"/>
  <c r="M505" i="12"/>
  <c r="L505" i="12"/>
  <c r="O505" i="12" s="1"/>
  <c r="O504" i="12"/>
  <c r="M504" i="12"/>
  <c r="L504" i="12"/>
  <c r="P503" i="12"/>
  <c r="N503" i="12"/>
  <c r="M503" i="12"/>
  <c r="L503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N477" i="12"/>
  <c r="M477" i="12"/>
  <c r="P477" i="12" s="1"/>
  <c r="N472" i="12"/>
  <c r="L472" i="12"/>
  <c r="M472" i="12" s="1"/>
  <c r="P471" i="12"/>
  <c r="O471" i="12"/>
  <c r="O468" i="12"/>
  <c r="N468" i="12"/>
  <c r="M468" i="12"/>
  <c r="L468" i="12"/>
  <c r="J466" i="12"/>
  <c r="I466" i="12"/>
  <c r="K466" i="12" s="1"/>
  <c r="J465" i="12"/>
  <c r="I465" i="12"/>
  <c r="K465" i="12" s="1"/>
  <c r="I464" i="12"/>
  <c r="I463" i="12"/>
  <c r="I462" i="12"/>
  <c r="K462" i="12" s="1"/>
  <c r="I460" i="12"/>
  <c r="K458" i="12"/>
  <c r="P456" i="12"/>
  <c r="L456" i="12"/>
  <c r="O456" i="12" s="1"/>
  <c r="P455" i="12"/>
  <c r="O455" i="12"/>
  <c r="N454" i="12"/>
  <c r="M454" i="12"/>
  <c r="P454" i="12" s="1"/>
  <c r="N449" i="12"/>
  <c r="N447" i="12" s="1"/>
  <c r="L449" i="12"/>
  <c r="O449" i="12" s="1"/>
  <c r="P448" i="12"/>
  <c r="O448" i="12"/>
  <c r="N446" i="12"/>
  <c r="O445" i="12"/>
  <c r="N445" i="12"/>
  <c r="M445" i="12"/>
  <c r="L445" i="12"/>
  <c r="N444" i="12"/>
  <c r="J443" i="12"/>
  <c r="J442" i="12"/>
  <c r="I441" i="12"/>
  <c r="K441" i="12" s="1"/>
  <c r="I440" i="12"/>
  <c r="K440" i="12" s="1"/>
  <c r="I439" i="12"/>
  <c r="K439" i="12" s="1"/>
  <c r="I438" i="12"/>
  <c r="I437" i="12"/>
  <c r="K437" i="12" s="1"/>
  <c r="I435" i="12"/>
  <c r="J434" i="12"/>
  <c r="J418" i="12" s="1"/>
  <c r="P431" i="12"/>
  <c r="L431" i="12"/>
  <c r="O431" i="12" s="1"/>
  <c r="P430" i="12"/>
  <c r="O430" i="12"/>
  <c r="P429" i="12"/>
  <c r="N429" i="12"/>
  <c r="M429" i="12"/>
  <c r="L429" i="12"/>
  <c r="O429" i="12" s="1"/>
  <c r="N424" i="12"/>
  <c r="L424" i="12"/>
  <c r="P423" i="12"/>
  <c r="O423" i="12"/>
  <c r="N422" i="12"/>
  <c r="N421" i="12"/>
  <c r="P420" i="12"/>
  <c r="N420" i="12"/>
  <c r="N419" i="12" s="1"/>
  <c r="M420" i="12"/>
  <c r="L420" i="12"/>
  <c r="K413" i="12"/>
  <c r="K412" i="12"/>
  <c r="N410" i="12"/>
  <c r="N408" i="12" s="1"/>
  <c r="M410" i="12"/>
  <c r="L410" i="12"/>
  <c r="P409" i="12"/>
  <c r="O409" i="12"/>
  <c r="N407" i="12"/>
  <c r="M407" i="12"/>
  <c r="L407" i="12"/>
  <c r="O407" i="12" s="1"/>
  <c r="P406" i="12"/>
  <c r="O406" i="12"/>
  <c r="N403" i="12"/>
  <c r="M403" i="12"/>
  <c r="P403" i="12" s="1"/>
  <c r="L403" i="12"/>
  <c r="O403" i="12" s="1"/>
  <c r="K401" i="12"/>
  <c r="J401" i="12"/>
  <c r="I401" i="12"/>
  <c r="K400" i="12"/>
  <c r="K399" i="12"/>
  <c r="N397" i="12"/>
  <c r="N395" i="12" s="1"/>
  <c r="M397" i="12"/>
  <c r="L397" i="12"/>
  <c r="O397" i="12" s="1"/>
  <c r="P396" i="12"/>
  <c r="O396" i="12"/>
  <c r="N394" i="12"/>
  <c r="M394" i="12"/>
  <c r="M392" i="12" s="1"/>
  <c r="P392" i="12" s="1"/>
  <c r="L394" i="12"/>
  <c r="O394" i="12" s="1"/>
  <c r="P393" i="12"/>
  <c r="O393" i="12"/>
  <c r="O390" i="12"/>
  <c r="N390" i="12"/>
  <c r="M390" i="12"/>
  <c r="P390" i="12" s="1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M353" i="12"/>
  <c r="M351" i="12" s="1"/>
  <c r="L353" i="12"/>
  <c r="L351" i="12" s="1"/>
  <c r="P352" i="12"/>
  <c r="O352" i="12"/>
  <c r="N350" i="12"/>
  <c r="N348" i="12" s="1"/>
  <c r="M350" i="12"/>
  <c r="M348" i="12" s="1"/>
  <c r="L350" i="12"/>
  <c r="P349" i="12"/>
  <c r="O349" i="12"/>
  <c r="O346" i="12"/>
  <c r="N346" i="12"/>
  <c r="M346" i="12"/>
  <c r="L346" i="12"/>
  <c r="J343" i="12"/>
  <c r="J342" i="12"/>
  <c r="J341" i="12"/>
  <c r="J340" i="12"/>
  <c r="I340" i="12"/>
  <c r="J338" i="12"/>
  <c r="I338" i="12"/>
  <c r="N336" i="12"/>
  <c r="M336" i="12"/>
  <c r="L336" i="12"/>
  <c r="O336" i="12" s="1"/>
  <c r="P335" i="12"/>
  <c r="O335" i="12"/>
  <c r="N333" i="12"/>
  <c r="M333" i="12"/>
  <c r="M331" i="12" s="1"/>
  <c r="L333" i="12"/>
  <c r="L331" i="12" s="1"/>
  <c r="P332" i="12"/>
  <c r="O332" i="12"/>
  <c r="P329" i="12"/>
  <c r="N329" i="12"/>
  <c r="M329" i="12"/>
  <c r="L329" i="12"/>
  <c r="O329" i="12" s="1"/>
  <c r="I327" i="12"/>
  <c r="I325" i="12"/>
  <c r="N323" i="12"/>
  <c r="N321" i="12" s="1"/>
  <c r="M323" i="12"/>
  <c r="L323" i="12"/>
  <c r="O323" i="12" s="1"/>
  <c r="P322" i="12"/>
  <c r="O322" i="12"/>
  <c r="N320" i="12"/>
  <c r="N318" i="12" s="1"/>
  <c r="M320" i="12"/>
  <c r="L320" i="12"/>
  <c r="O320" i="12" s="1"/>
  <c r="P319" i="12"/>
  <c r="O319" i="12"/>
  <c r="P316" i="12"/>
  <c r="N316" i="12"/>
  <c r="M316" i="12"/>
  <c r="L316" i="12"/>
  <c r="O316" i="12" s="1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P306" i="12" s="1"/>
  <c r="L306" i="12"/>
  <c r="P305" i="12"/>
  <c r="O305" i="12"/>
  <c r="N303" i="12"/>
  <c r="M303" i="12"/>
  <c r="P303" i="12" s="1"/>
  <c r="L303" i="12"/>
  <c r="O303" i="12" s="1"/>
  <c r="P302" i="12"/>
  <c r="O302" i="12"/>
  <c r="P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K288" i="12" s="1"/>
  <c r="I287" i="12"/>
  <c r="K287" i="12" s="1"/>
  <c r="N285" i="12"/>
  <c r="N283" i="12" s="1"/>
  <c r="M285" i="12"/>
  <c r="P285" i="12" s="1"/>
  <c r="L285" i="12"/>
  <c r="O285" i="12" s="1"/>
  <c r="P284" i="12"/>
  <c r="O284" i="12"/>
  <c r="N282" i="12"/>
  <c r="N280" i="12" s="1"/>
  <c r="M282" i="12"/>
  <c r="P282" i="12" s="1"/>
  <c r="L282" i="12"/>
  <c r="O282" i="12" s="1"/>
  <c r="P281" i="12"/>
  <c r="O281" i="12"/>
  <c r="O278" i="12"/>
  <c r="N278" i="12"/>
  <c r="M278" i="12"/>
  <c r="L278" i="12"/>
  <c r="J276" i="12"/>
  <c r="I271" i="12"/>
  <c r="K271" i="12" s="1"/>
  <c r="N269" i="12"/>
  <c r="N267" i="12" s="1"/>
  <c r="M269" i="12"/>
  <c r="P269" i="12" s="1"/>
  <c r="L269" i="12"/>
  <c r="L267" i="12" s="1"/>
  <c r="O267" i="12" s="1"/>
  <c r="P268" i="12"/>
  <c r="O268" i="12"/>
  <c r="N266" i="12"/>
  <c r="N264" i="12" s="1"/>
  <c r="M266" i="12"/>
  <c r="L266" i="12"/>
  <c r="P265" i="12"/>
  <c r="O265" i="12"/>
  <c r="P262" i="12"/>
  <c r="N262" i="12"/>
  <c r="M262" i="12"/>
  <c r="L262" i="12"/>
  <c r="J260" i="12"/>
  <c r="K258" i="12"/>
  <c r="K257" i="12"/>
  <c r="I255" i="12"/>
  <c r="K255" i="12" s="1"/>
  <c r="L253" i="12"/>
  <c r="L252" i="12"/>
  <c r="L251" i="12"/>
  <c r="L250" i="12"/>
  <c r="P249" i="12"/>
  <c r="N249" i="12"/>
  <c r="J248" i="12"/>
  <c r="K247" i="12"/>
  <c r="K246" i="12"/>
  <c r="I244" i="12"/>
  <c r="I237" i="12" s="1"/>
  <c r="K237" i="12" s="1"/>
  <c r="L242" i="12"/>
  <c r="L241" i="12"/>
  <c r="L240" i="12"/>
  <c r="L239" i="12"/>
  <c r="P238" i="12"/>
  <c r="N238" i="12"/>
  <c r="N227" i="12" s="1"/>
  <c r="J237" i="12"/>
  <c r="J226" i="12" s="1"/>
  <c r="J180" i="12" s="1"/>
  <c r="J236" i="12"/>
  <c r="I236" i="12"/>
  <c r="K236" i="12" s="1"/>
  <c r="J235" i="12"/>
  <c r="I235" i="12"/>
  <c r="K235" i="12" s="1"/>
  <c r="J233" i="12"/>
  <c r="N231" i="12"/>
  <c r="N230" i="12"/>
  <c r="N229" i="12"/>
  <c r="N228" i="12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I214" i="12"/>
  <c r="K214" i="12" s="1"/>
  <c r="L212" i="12"/>
  <c r="L211" i="12"/>
  <c r="L210" i="12"/>
  <c r="P209" i="12"/>
  <c r="N209" i="12"/>
  <c r="J208" i="12"/>
  <c r="K207" i="12"/>
  <c r="K206" i="12"/>
  <c r="I204" i="12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L189" i="12"/>
  <c r="O189" i="12" s="1"/>
  <c r="P188" i="12"/>
  <c r="O188" i="12"/>
  <c r="N186" i="12"/>
  <c r="M186" i="12"/>
  <c r="L186" i="12"/>
  <c r="P185" i="12"/>
  <c r="O185" i="12"/>
  <c r="P182" i="12"/>
  <c r="N182" i="12"/>
  <c r="M182" i="12"/>
  <c r="L182" i="12"/>
  <c r="J177" i="12"/>
  <c r="J164" i="12" s="1"/>
  <c r="I176" i="12"/>
  <c r="I174" i="12" s="1"/>
  <c r="J174" i="12"/>
  <c r="N173" i="12"/>
  <c r="N171" i="12" s="1"/>
  <c r="M173" i="12"/>
  <c r="L173" i="12"/>
  <c r="O173" i="12" s="1"/>
  <c r="P172" i="12"/>
  <c r="O172" i="12"/>
  <c r="N170" i="12"/>
  <c r="N168" i="12" s="1"/>
  <c r="M170" i="12"/>
  <c r="L170" i="12"/>
  <c r="P169" i="12"/>
  <c r="O169" i="12"/>
  <c r="P166" i="12"/>
  <c r="N166" i="12"/>
  <c r="M166" i="12"/>
  <c r="L166" i="12"/>
  <c r="I159" i="12"/>
  <c r="N157" i="12"/>
  <c r="N155" i="12" s="1"/>
  <c r="M157" i="12"/>
  <c r="L157" i="12"/>
  <c r="O157" i="12" s="1"/>
  <c r="P156" i="12"/>
  <c r="O156" i="12"/>
  <c r="N154" i="12"/>
  <c r="N152" i="12" s="1"/>
  <c r="M154" i="12"/>
  <c r="L154" i="12"/>
  <c r="O154" i="12" s="1"/>
  <c r="P153" i="12"/>
  <c r="O153" i="12"/>
  <c r="P150" i="12"/>
  <c r="N150" i="12"/>
  <c r="M150" i="12"/>
  <c r="L150" i="12"/>
  <c r="J148" i="12"/>
  <c r="I146" i="12"/>
  <c r="I145" i="12"/>
  <c r="K145" i="12" s="1"/>
  <c r="I144" i="12"/>
  <c r="K144" i="12" s="1"/>
  <c r="N140" i="12"/>
  <c r="N138" i="12" s="1"/>
  <c r="M140" i="12"/>
  <c r="P140" i="12" s="1"/>
  <c r="L140" i="12"/>
  <c r="P139" i="12"/>
  <c r="O139" i="12"/>
  <c r="N137" i="12"/>
  <c r="N135" i="12" s="1"/>
  <c r="M137" i="12"/>
  <c r="L137" i="12"/>
  <c r="P136" i="12"/>
  <c r="O136" i="12"/>
  <c r="O133" i="12"/>
  <c r="N133" i="12"/>
  <c r="M133" i="12"/>
  <c r="P133" i="12" s="1"/>
  <c r="L133" i="12"/>
  <c r="J130" i="12"/>
  <c r="N127" i="12"/>
  <c r="N125" i="12" s="1"/>
  <c r="M127" i="12"/>
  <c r="P127" i="12" s="1"/>
  <c r="L127" i="12"/>
  <c r="P126" i="12"/>
  <c r="O126" i="12"/>
  <c r="N124" i="12"/>
  <c r="N122" i="12" s="1"/>
  <c r="M124" i="12"/>
  <c r="P124" i="12" s="1"/>
  <c r="L124" i="12"/>
  <c r="L122" i="12" s="1"/>
  <c r="O122" i="12" s="1"/>
  <c r="P123" i="12"/>
  <c r="O123" i="12"/>
  <c r="P120" i="12"/>
  <c r="N120" i="12"/>
  <c r="M120" i="12"/>
  <c r="L120" i="12"/>
  <c r="O120" i="12" s="1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J87" i="12" s="1"/>
  <c r="I99" i="12"/>
  <c r="I87" i="12" s="1"/>
  <c r="K87" i="12" s="1"/>
  <c r="J98" i="12"/>
  <c r="I98" i="12"/>
  <c r="N96" i="12"/>
  <c r="N94" i="12" s="1"/>
  <c r="M96" i="12"/>
  <c r="M94" i="12" s="1"/>
  <c r="P94" i="12" s="1"/>
  <c r="L96" i="12"/>
  <c r="L94" i="12" s="1"/>
  <c r="O94" i="12" s="1"/>
  <c r="P95" i="12"/>
  <c r="O95" i="12"/>
  <c r="N93" i="12"/>
  <c r="N91" i="12" s="1"/>
  <c r="M93" i="12"/>
  <c r="M91" i="12" s="1"/>
  <c r="L93" i="12"/>
  <c r="L91" i="12" s="1"/>
  <c r="P92" i="12"/>
  <c r="O92" i="12"/>
  <c r="P89" i="12"/>
  <c r="O89" i="12"/>
  <c r="N89" i="12"/>
  <c r="M89" i="12"/>
  <c r="L89" i="12"/>
  <c r="J86" i="12"/>
  <c r="I84" i="12"/>
  <c r="K84" i="12" s="1"/>
  <c r="I83" i="12"/>
  <c r="K83" i="12" s="1"/>
  <c r="I82" i="12"/>
  <c r="K82" i="12" s="1"/>
  <c r="I81" i="12"/>
  <c r="K81" i="12" s="1"/>
  <c r="I80" i="12"/>
  <c r="I79" i="12"/>
  <c r="K79" i="12" s="1"/>
  <c r="I78" i="12"/>
  <c r="K78" i="12" s="1"/>
  <c r="J77" i="12"/>
  <c r="J65" i="12" s="1"/>
  <c r="J76" i="12"/>
  <c r="N74" i="12"/>
  <c r="N72" i="12" s="1"/>
  <c r="M74" i="12"/>
  <c r="P74" i="12" s="1"/>
  <c r="L74" i="12"/>
  <c r="P73" i="12"/>
  <c r="O73" i="12"/>
  <c r="N71" i="12"/>
  <c r="N69" i="12" s="1"/>
  <c r="M71" i="12"/>
  <c r="L71" i="12"/>
  <c r="L69" i="12" s="1"/>
  <c r="O69" i="12" s="1"/>
  <c r="P70" i="12"/>
  <c r="O70" i="12"/>
  <c r="O67" i="12"/>
  <c r="N67" i="12"/>
  <c r="M67" i="12"/>
  <c r="P67" i="12" s="1"/>
  <c r="L67" i="12"/>
  <c r="J64" i="12"/>
  <c r="N61" i="12"/>
  <c r="N59" i="12" s="1"/>
  <c r="M61" i="12"/>
  <c r="M59" i="12" s="1"/>
  <c r="L61" i="12"/>
  <c r="P60" i="12"/>
  <c r="O60" i="12"/>
  <c r="N58" i="12"/>
  <c r="M58" i="12"/>
  <c r="M56" i="12" s="1"/>
  <c r="L58" i="12"/>
  <c r="L56" i="12" s="1"/>
  <c r="P57" i="12"/>
  <c r="O57" i="12"/>
  <c r="P54" i="12"/>
  <c r="N54" i="12"/>
  <c r="M54" i="12"/>
  <c r="L54" i="12"/>
  <c r="N49" i="12"/>
  <c r="N47" i="12" s="1"/>
  <c r="M49" i="12"/>
  <c r="L49" i="12"/>
  <c r="P48" i="12"/>
  <c r="O48" i="12"/>
  <c r="N46" i="12"/>
  <c r="N44" i="12" s="1"/>
  <c r="M46" i="12"/>
  <c r="L46" i="12"/>
  <c r="L44" i="12" s="1"/>
  <c r="P45" i="12"/>
  <c r="O45" i="12"/>
  <c r="P42" i="12"/>
  <c r="O42" i="12"/>
  <c r="N42" i="12"/>
  <c r="M42" i="12"/>
  <c r="L42" i="12"/>
  <c r="P36" i="12"/>
  <c r="N36" i="12"/>
  <c r="N34" i="12" s="1"/>
  <c r="M36" i="12"/>
  <c r="N35" i="12"/>
  <c r="M35" i="12"/>
  <c r="M29" i="12" s="1"/>
  <c r="L35" i="12"/>
  <c r="L15" i="12" s="1"/>
  <c r="N33" i="12"/>
  <c r="P32" i="12"/>
  <c r="N32" i="12"/>
  <c r="N29" i="12" s="1"/>
  <c r="N28" i="12" s="1"/>
  <c r="M32" i="12"/>
  <c r="L32" i="12"/>
  <c r="O32" i="12" s="1"/>
  <c r="N31" i="12"/>
  <c r="N30" i="12"/>
  <c r="O25" i="12"/>
  <c r="N25" i="12"/>
  <c r="N15" i="12" s="1"/>
  <c r="M25" i="12"/>
  <c r="P25" i="12" s="1"/>
  <c r="L25" i="12"/>
  <c r="P22" i="12"/>
  <c r="N22" i="12"/>
  <c r="M22" i="12"/>
  <c r="L22" i="12"/>
  <c r="L19" i="12" s="1"/>
  <c r="M19" i="12"/>
  <c r="P19" i="12" s="1"/>
  <c r="M15" i="12"/>
  <c r="P12" i="12"/>
  <c r="N12" i="12"/>
  <c r="N9" i="12" s="1"/>
  <c r="M12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P809" i="11"/>
  <c r="O809" i="11"/>
  <c r="O808" i="11"/>
  <c r="N808" i="11"/>
  <c r="M808" i="11"/>
  <c r="P808" i="11" s="1"/>
  <c r="L808" i="11"/>
  <c r="N807" i="11"/>
  <c r="N805" i="11" s="1"/>
  <c r="M807" i="11"/>
  <c r="P807" i="11" s="1"/>
  <c r="L807" i="11"/>
  <c r="O807" i="11" s="1"/>
  <c r="N806" i="11"/>
  <c r="M806" i="11"/>
  <c r="L806" i="11"/>
  <c r="O806" i="11" s="1"/>
  <c r="L805" i="11"/>
  <c r="O805" i="11" s="1"/>
  <c r="K804" i="11"/>
  <c r="J804" i="11"/>
  <c r="K802" i="11"/>
  <c r="J801" i="11"/>
  <c r="J800" i="11"/>
  <c r="J785" i="11" s="1"/>
  <c r="I800" i="11"/>
  <c r="P798" i="11"/>
  <c r="O798" i="11"/>
  <c r="P797" i="11"/>
  <c r="O797" i="11"/>
  <c r="P796" i="11"/>
  <c r="O796" i="11"/>
  <c r="N796" i="11"/>
  <c r="M796" i="11"/>
  <c r="L796" i="11"/>
  <c r="P791" i="11"/>
  <c r="N791" i="11"/>
  <c r="N789" i="11" s="1"/>
  <c r="L791" i="11"/>
  <c r="L789" i="11" s="1"/>
  <c r="O789" i="11" s="1"/>
  <c r="P790" i="11"/>
  <c r="O790" i="11"/>
  <c r="M789" i="11"/>
  <c r="P789" i="11" s="1"/>
  <c r="M788" i="11"/>
  <c r="P788" i="11" s="1"/>
  <c r="N787" i="11"/>
  <c r="M787" i="11"/>
  <c r="L787" i="11"/>
  <c r="O787" i="11" s="1"/>
  <c r="P782" i="11"/>
  <c r="O782" i="11"/>
  <c r="P781" i="11"/>
  <c r="O781" i="11"/>
  <c r="P780" i="11"/>
  <c r="N780" i="11"/>
  <c r="M780" i="11"/>
  <c r="L780" i="11"/>
  <c r="O780" i="11" s="1"/>
  <c r="P775" i="11"/>
  <c r="O775" i="11"/>
  <c r="N775" i="11"/>
  <c r="P774" i="11"/>
  <c r="O774" i="11"/>
  <c r="P773" i="11"/>
  <c r="O773" i="11"/>
  <c r="N773" i="11"/>
  <c r="M773" i="11"/>
  <c r="L773" i="11"/>
  <c r="O772" i="11"/>
  <c r="N772" i="11"/>
  <c r="M772" i="11"/>
  <c r="P772" i="11" s="1"/>
  <c r="L772" i="11"/>
  <c r="N771" i="11"/>
  <c r="M771" i="11"/>
  <c r="P771" i="11" s="1"/>
  <c r="L771" i="11"/>
  <c r="O771" i="11" s="1"/>
  <c r="L770" i="11"/>
  <c r="O770" i="11" s="1"/>
  <c r="K769" i="11"/>
  <c r="J769" i="11"/>
  <c r="P766" i="11"/>
  <c r="O766" i="11"/>
  <c r="P765" i="11"/>
  <c r="O765" i="11"/>
  <c r="P764" i="11"/>
  <c r="N764" i="11"/>
  <c r="M764" i="11"/>
  <c r="L764" i="11"/>
  <c r="O764" i="11" s="1"/>
  <c r="P759" i="11"/>
  <c r="O759" i="11"/>
  <c r="N759" i="11"/>
  <c r="P758" i="11"/>
  <c r="O758" i="11"/>
  <c r="P757" i="11"/>
  <c r="O757" i="11"/>
  <c r="N757" i="11"/>
  <c r="M757" i="11"/>
  <c r="L757" i="11"/>
  <c r="O756" i="11"/>
  <c r="N756" i="11"/>
  <c r="M756" i="11"/>
  <c r="P756" i="11" s="1"/>
  <c r="L756" i="11"/>
  <c r="N755" i="11"/>
  <c r="N754" i="11" s="1"/>
  <c r="M755" i="11"/>
  <c r="P755" i="11" s="1"/>
  <c r="L755" i="11"/>
  <c r="O755" i="11" s="1"/>
  <c r="L754" i="11"/>
  <c r="O754" i="11" s="1"/>
  <c r="K753" i="11"/>
  <c r="J753" i="11"/>
  <c r="P749" i="11"/>
  <c r="O749" i="11"/>
  <c r="P748" i="11"/>
  <c r="O748" i="11"/>
  <c r="P747" i="11"/>
  <c r="N747" i="11"/>
  <c r="M747" i="11"/>
  <c r="L747" i="11"/>
  <c r="O747" i="11" s="1"/>
  <c r="P742" i="11"/>
  <c r="O742" i="11"/>
  <c r="N742" i="11"/>
  <c r="P741" i="11"/>
  <c r="O741" i="11"/>
  <c r="P740" i="11"/>
  <c r="O740" i="11"/>
  <c r="N740" i="11"/>
  <c r="M740" i="11"/>
  <c r="L740" i="11"/>
  <c r="O739" i="11"/>
  <c r="N739" i="11"/>
  <c r="M739" i="11"/>
  <c r="P739" i="11" s="1"/>
  <c r="L739" i="11"/>
  <c r="N738" i="11"/>
  <c r="N737" i="11" s="1"/>
  <c r="M738" i="11"/>
  <c r="P738" i="11" s="1"/>
  <c r="L738" i="11"/>
  <c r="O738" i="11" s="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P695" i="11"/>
  <c r="N695" i="11"/>
  <c r="M695" i="11"/>
  <c r="L695" i="11"/>
  <c r="O695" i="11" s="1"/>
  <c r="P690" i="11"/>
  <c r="N690" i="11"/>
  <c r="L690" i="11"/>
  <c r="N688" i="11"/>
  <c r="M688" i="11"/>
  <c r="P688" i="11" s="1"/>
  <c r="N687" i="11"/>
  <c r="N685" i="11" s="1"/>
  <c r="M687" i="11"/>
  <c r="P687" i="11" s="1"/>
  <c r="N686" i="11"/>
  <c r="M686" i="11"/>
  <c r="L686" i="11"/>
  <c r="O686" i="11" s="1"/>
  <c r="J679" i="11"/>
  <c r="J678" i="11" s="1"/>
  <c r="I678" i="11"/>
  <c r="K678" i="11" s="1"/>
  <c r="J675" i="11"/>
  <c r="J669" i="11" s="1"/>
  <c r="I671" i="11"/>
  <c r="K671" i="11" s="1"/>
  <c r="I670" i="11"/>
  <c r="K670" i="11" s="1"/>
  <c r="I669" i="11"/>
  <c r="K672" i="11" s="1"/>
  <c r="P667" i="11"/>
  <c r="O667" i="11"/>
  <c r="P666" i="11"/>
  <c r="O666" i="11"/>
  <c r="N665" i="11"/>
  <c r="M665" i="11"/>
  <c r="P665" i="11" s="1"/>
  <c r="L665" i="11"/>
  <c r="O665" i="11" s="1"/>
  <c r="N660" i="11"/>
  <c r="N658" i="11" s="1"/>
  <c r="L660" i="11"/>
  <c r="L657" i="11" s="1"/>
  <c r="P659" i="11"/>
  <c r="O659" i="11"/>
  <c r="N657" i="11"/>
  <c r="P656" i="11"/>
  <c r="O656" i="11"/>
  <c r="N656" i="11"/>
  <c r="M656" i="11"/>
  <c r="L656" i="11"/>
  <c r="N655" i="11"/>
  <c r="J654" i="11"/>
  <c r="K652" i="11"/>
  <c r="J652" i="11"/>
  <c r="J651" i="11"/>
  <c r="J628" i="11" s="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P639" i="11"/>
  <c r="N639" i="11"/>
  <c r="M639" i="11"/>
  <c r="N634" i="11"/>
  <c r="N632" i="11" s="1"/>
  <c r="L634" i="11"/>
  <c r="M634" i="11" s="1"/>
  <c r="P633" i="11"/>
  <c r="O633" i="11"/>
  <c r="N630" i="11"/>
  <c r="M630" i="11"/>
  <c r="L630" i="11"/>
  <c r="O630" i="11" s="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3" i="11" s="1"/>
  <c r="J596" i="11"/>
  <c r="J594" i="11" s="1"/>
  <c r="J595" i="11"/>
  <c r="I594" i="11"/>
  <c r="I593" i="11"/>
  <c r="I592" i="11" s="1"/>
  <c r="J583" i="11"/>
  <c r="J577" i="11" s="1"/>
  <c r="J582" i="11"/>
  <c r="J576" i="11" s="1"/>
  <c r="J559" i="11" s="1"/>
  <c r="J543" i="11" s="1"/>
  <c r="I577" i="11"/>
  <c r="I576" i="1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P557" i="11"/>
  <c r="L557" i="11"/>
  <c r="L555" i="11" s="1"/>
  <c r="O555" i="11" s="1"/>
  <c r="P556" i="11"/>
  <c r="O556" i="11"/>
  <c r="N555" i="11"/>
  <c r="N545" i="11" s="1"/>
  <c r="N544" i="11" s="1"/>
  <c r="M555" i="11"/>
  <c r="N549" i="11"/>
  <c r="L549" i="11"/>
  <c r="L546" i="11" s="1"/>
  <c r="O546" i="11" s="1"/>
  <c r="P548" i="11"/>
  <c r="O548" i="11"/>
  <c r="N547" i="11"/>
  <c r="N546" i="11"/>
  <c r="L545" i="11"/>
  <c r="I542" i="11"/>
  <c r="K542" i="11" s="1"/>
  <c r="I541" i="11"/>
  <c r="K541" i="11" s="1"/>
  <c r="I540" i="11"/>
  <c r="K540" i="11" s="1"/>
  <c r="I539" i="11"/>
  <c r="K539" i="11" s="1"/>
  <c r="I538" i="11"/>
  <c r="I537" i="11"/>
  <c r="P535" i="11"/>
  <c r="L535" i="11"/>
  <c r="P534" i="11"/>
  <c r="O534" i="11"/>
  <c r="N533" i="11"/>
  <c r="M533" i="11"/>
  <c r="P533" i="11" s="1"/>
  <c r="P528" i="11"/>
  <c r="N528" i="11"/>
  <c r="N525" i="11" s="1"/>
  <c r="L528" i="11"/>
  <c r="O528" i="11" s="1"/>
  <c r="P527" i="11"/>
  <c r="O527" i="11"/>
  <c r="P526" i="11"/>
  <c r="N526" i="11"/>
  <c r="M526" i="11"/>
  <c r="L526" i="11"/>
  <c r="O526" i="11" s="1"/>
  <c r="P525" i="11"/>
  <c r="M525" i="11"/>
  <c r="P524" i="11"/>
  <c r="O524" i="11"/>
  <c r="N524" i="11"/>
  <c r="M524" i="11"/>
  <c r="L524" i="11"/>
  <c r="N523" i="11"/>
  <c r="M523" i="11"/>
  <c r="P523" i="11" s="1"/>
  <c r="K517" i="11"/>
  <c r="J517" i="11"/>
  <c r="J501" i="11" s="1"/>
  <c r="K516" i="11"/>
  <c r="P514" i="11"/>
  <c r="O514" i="11"/>
  <c r="P513" i="11"/>
  <c r="O513" i="11"/>
  <c r="P512" i="11"/>
  <c r="N512" i="11"/>
  <c r="M512" i="11"/>
  <c r="L512" i="11"/>
  <c r="O512" i="11" s="1"/>
  <c r="P507" i="11"/>
  <c r="O507" i="11"/>
  <c r="N507" i="11"/>
  <c r="P506" i="11"/>
  <c r="O506" i="11"/>
  <c r="P505" i="11"/>
  <c r="O505" i="11"/>
  <c r="N505" i="11"/>
  <c r="M505" i="11"/>
  <c r="L505" i="11"/>
  <c r="O504" i="11"/>
  <c r="N504" i="11"/>
  <c r="M504" i="11"/>
  <c r="P504" i="11" s="1"/>
  <c r="L504" i="11"/>
  <c r="N503" i="11"/>
  <c r="N502" i="11" s="1"/>
  <c r="M503" i="11"/>
  <c r="P503" i="11" s="1"/>
  <c r="L503" i="11"/>
  <c r="O503" i="11" s="1"/>
  <c r="L502" i="11"/>
  <c r="O502" i="11" s="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O479" i="11" s="1"/>
  <c r="P478" i="11"/>
  <c r="O478" i="11"/>
  <c r="P477" i="11"/>
  <c r="N477" i="11"/>
  <c r="M477" i="11"/>
  <c r="N472" i="11"/>
  <c r="N470" i="11" s="1"/>
  <c r="L472" i="11"/>
  <c r="P471" i="11"/>
  <c r="O471" i="11"/>
  <c r="N469" i="11"/>
  <c r="O468" i="11"/>
  <c r="N468" i="11"/>
  <c r="N467" i="11" s="1"/>
  <c r="M468" i="11"/>
  <c r="P468" i="11" s="1"/>
  <c r="L468" i="11"/>
  <c r="J466" i="11"/>
  <c r="I466" i="11"/>
  <c r="K466" i="11" s="1"/>
  <c r="J465" i="11"/>
  <c r="I465" i="11"/>
  <c r="I464" i="11"/>
  <c r="I463" i="11"/>
  <c r="I462" i="11"/>
  <c r="I460" i="11"/>
  <c r="I442" i="11" s="1"/>
  <c r="K442" i="11" s="1"/>
  <c r="K458" i="11"/>
  <c r="P456" i="11"/>
  <c r="L456" i="11"/>
  <c r="P455" i="11"/>
  <c r="O455" i="11"/>
  <c r="N454" i="11"/>
  <c r="M454" i="11"/>
  <c r="P454" i="11" s="1"/>
  <c r="P449" i="11"/>
  <c r="N449" i="11"/>
  <c r="N446" i="11" s="1"/>
  <c r="L449" i="11"/>
  <c r="O449" i="11" s="1"/>
  <c r="P448" i="11"/>
  <c r="O448" i="11"/>
  <c r="P447" i="11"/>
  <c r="N447" i="11"/>
  <c r="M447" i="11"/>
  <c r="P446" i="11"/>
  <c r="M446" i="11"/>
  <c r="P445" i="11"/>
  <c r="O445" i="11"/>
  <c r="N445" i="11"/>
  <c r="M445" i="11"/>
  <c r="L445" i="11"/>
  <c r="N444" i="11"/>
  <c r="M444" i="11"/>
  <c r="P444" i="11" s="1"/>
  <c r="J443" i="11"/>
  <c r="J442" i="11"/>
  <c r="I441" i="11"/>
  <c r="K441" i="11" s="1"/>
  <c r="I440" i="11"/>
  <c r="I439" i="11"/>
  <c r="K439" i="11" s="1"/>
  <c r="I438" i="11"/>
  <c r="K438" i="11" s="1"/>
  <c r="I437" i="11"/>
  <c r="K437" i="11" s="1"/>
  <c r="I435" i="11"/>
  <c r="J434" i="11"/>
  <c r="P431" i="11"/>
  <c r="L431" i="11"/>
  <c r="P430" i="11"/>
  <c r="O430" i="11"/>
  <c r="N429" i="11"/>
  <c r="M429" i="11"/>
  <c r="P429" i="11" s="1"/>
  <c r="N424" i="11"/>
  <c r="L424" i="11"/>
  <c r="L422" i="11" s="1"/>
  <c r="O422" i="11" s="1"/>
  <c r="P423" i="11"/>
  <c r="O423" i="11"/>
  <c r="N422" i="11"/>
  <c r="N421" i="11"/>
  <c r="P420" i="11"/>
  <c r="O420" i="11"/>
  <c r="N420" i="11"/>
  <c r="M420" i="11"/>
  <c r="L420" i="11"/>
  <c r="N419" i="11"/>
  <c r="J418" i="11"/>
  <c r="K413" i="11"/>
  <c r="K412" i="11"/>
  <c r="N410" i="11"/>
  <c r="N408" i="11" s="1"/>
  <c r="M410" i="11"/>
  <c r="P410" i="11" s="1"/>
  <c r="L410" i="11"/>
  <c r="L408" i="11" s="1"/>
  <c r="O408" i="11" s="1"/>
  <c r="P409" i="11"/>
  <c r="O409" i="11"/>
  <c r="N407" i="11"/>
  <c r="N405" i="11" s="1"/>
  <c r="M407" i="11"/>
  <c r="L407" i="11"/>
  <c r="L405" i="11" s="1"/>
  <c r="O405" i="11" s="1"/>
  <c r="P406" i="11"/>
  <c r="O406" i="11"/>
  <c r="O403" i="11"/>
  <c r="N403" i="11"/>
  <c r="M403" i="11"/>
  <c r="P403" i="11" s="1"/>
  <c r="L403" i="11"/>
  <c r="J401" i="11"/>
  <c r="I401" i="11"/>
  <c r="K401" i="11" s="1"/>
  <c r="K400" i="11"/>
  <c r="K399" i="11"/>
  <c r="N397" i="11"/>
  <c r="N395" i="11" s="1"/>
  <c r="M397" i="11"/>
  <c r="P397" i="11" s="1"/>
  <c r="L397" i="11"/>
  <c r="P396" i="11"/>
  <c r="O396" i="11"/>
  <c r="N394" i="11"/>
  <c r="M394" i="11"/>
  <c r="P394" i="11" s="1"/>
  <c r="L394" i="11"/>
  <c r="P393" i="11"/>
  <c r="O393" i="11"/>
  <c r="P390" i="11"/>
  <c r="O390" i="11"/>
  <c r="N390" i="11"/>
  <c r="M390" i="11"/>
  <c r="L390" i="11"/>
  <c r="J388" i="11"/>
  <c r="I388" i="11"/>
  <c r="K388" i="11" s="1"/>
  <c r="J385" i="11"/>
  <c r="I385" i="11"/>
  <c r="K382" i="11"/>
  <c r="J382" i="11"/>
  <c r="J381" i="1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M353" i="11"/>
  <c r="M351" i="11" s="1"/>
  <c r="L353" i="11"/>
  <c r="P352" i="11"/>
  <c r="O352" i="11"/>
  <c r="N350" i="11"/>
  <c r="M350" i="11"/>
  <c r="L350" i="11"/>
  <c r="P349" i="11"/>
  <c r="O349" i="11"/>
  <c r="P346" i="11"/>
  <c r="O346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M334" i="11" s="1"/>
  <c r="P334" i="11" s="1"/>
  <c r="L336" i="11"/>
  <c r="L334" i="11" s="1"/>
  <c r="O334" i="11" s="1"/>
  <c r="P335" i="11"/>
  <c r="O335" i="11"/>
  <c r="N333" i="11"/>
  <c r="M333" i="11"/>
  <c r="L333" i="11"/>
  <c r="L331" i="11" s="1"/>
  <c r="P332" i="11"/>
  <c r="O332" i="11"/>
  <c r="P329" i="11"/>
  <c r="O329" i="11"/>
  <c r="N329" i="11"/>
  <c r="M329" i="11"/>
  <c r="L329" i="11"/>
  <c r="I327" i="11"/>
  <c r="I325" i="11"/>
  <c r="K325" i="11" s="1"/>
  <c r="N323" i="11"/>
  <c r="N321" i="11" s="1"/>
  <c r="M323" i="11"/>
  <c r="P323" i="11" s="1"/>
  <c r="L323" i="11"/>
  <c r="P322" i="11"/>
  <c r="O322" i="11"/>
  <c r="N320" i="11"/>
  <c r="N318" i="11" s="1"/>
  <c r="M320" i="11"/>
  <c r="P320" i="11" s="1"/>
  <c r="L320" i="11"/>
  <c r="P319" i="11"/>
  <c r="O319" i="11"/>
  <c r="N316" i="11"/>
  <c r="M316" i="11"/>
  <c r="L316" i="11"/>
  <c r="O316" i="11" s="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P306" i="11" s="1"/>
  <c r="L306" i="11"/>
  <c r="L304" i="11" s="1"/>
  <c r="O304" i="11" s="1"/>
  <c r="P305" i="11"/>
  <c r="O305" i="11"/>
  <c r="N303" i="11"/>
  <c r="N301" i="11" s="1"/>
  <c r="M303" i="11"/>
  <c r="L303" i="11"/>
  <c r="L301" i="11" s="1"/>
  <c r="O301" i="11" s="1"/>
  <c r="P302" i="11"/>
  <c r="O302" i="11"/>
  <c r="O299" i="11"/>
  <c r="N299" i="11"/>
  <c r="M299" i="11"/>
  <c r="P299" i="11" s="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87" i="11"/>
  <c r="N285" i="11"/>
  <c r="M285" i="11"/>
  <c r="M283" i="11" s="1"/>
  <c r="P283" i="11" s="1"/>
  <c r="L285" i="11"/>
  <c r="O285" i="11" s="1"/>
  <c r="P284" i="11"/>
  <c r="O284" i="11"/>
  <c r="N282" i="11"/>
  <c r="N280" i="11" s="1"/>
  <c r="M282" i="11"/>
  <c r="M280" i="11" s="1"/>
  <c r="P280" i="11" s="1"/>
  <c r="L282" i="11"/>
  <c r="L280" i="11" s="1"/>
  <c r="O280" i="11" s="1"/>
  <c r="P281" i="11"/>
  <c r="O281" i="11"/>
  <c r="P278" i="11"/>
  <c r="N278" i="11"/>
  <c r="M278" i="11"/>
  <c r="L278" i="11"/>
  <c r="J276" i="11"/>
  <c r="I271" i="11"/>
  <c r="K271" i="11" s="1"/>
  <c r="N269" i="11"/>
  <c r="N267" i="11" s="1"/>
  <c r="M269" i="11"/>
  <c r="P269" i="11" s="1"/>
  <c r="L269" i="11"/>
  <c r="L267" i="11" s="1"/>
  <c r="O267" i="11" s="1"/>
  <c r="P268" i="11"/>
  <c r="O268" i="11"/>
  <c r="N266" i="11"/>
  <c r="N264" i="11" s="1"/>
  <c r="M266" i="11"/>
  <c r="M264" i="11" s="1"/>
  <c r="L266" i="11"/>
  <c r="L264" i="11" s="1"/>
  <c r="P265" i="11"/>
  <c r="O265" i="11"/>
  <c r="O262" i="11"/>
  <c r="N262" i="11"/>
  <c r="M262" i="11"/>
  <c r="P262" i="11" s="1"/>
  <c r="L262" i="11"/>
  <c r="J260" i="11"/>
  <c r="K258" i="11"/>
  <c r="K257" i="11"/>
  <c r="I255" i="11"/>
  <c r="I248" i="11" s="1"/>
  <c r="K248" i="11" s="1"/>
  <c r="L253" i="11"/>
  <c r="L252" i="11"/>
  <c r="L251" i="11"/>
  <c r="L250" i="11"/>
  <c r="P249" i="11"/>
  <c r="N249" i="11"/>
  <c r="J248" i="11"/>
  <c r="K247" i="11"/>
  <c r="K246" i="11"/>
  <c r="I244" i="11"/>
  <c r="L242" i="11"/>
  <c r="L241" i="11"/>
  <c r="L240" i="11"/>
  <c r="L239" i="11"/>
  <c r="P238" i="11"/>
  <c r="N238" i="11"/>
  <c r="J237" i="11"/>
  <c r="J236" i="11"/>
  <c r="I236" i="11"/>
  <c r="K236" i="11" s="1"/>
  <c r="K235" i="11"/>
  <c r="J235" i="11"/>
  <c r="I235" i="11"/>
  <c r="J233" i="11"/>
  <c r="N231" i="11"/>
  <c r="N230" i="11"/>
  <c r="N229" i="11"/>
  <c r="N228" i="11"/>
  <c r="J226" i="11"/>
  <c r="J180" i="11" s="1"/>
  <c r="I225" i="11"/>
  <c r="K225" i="11" s="1"/>
  <c r="I224" i="11"/>
  <c r="K224" i="11" s="1"/>
  <c r="I223" i="11"/>
  <c r="K223" i="11" s="1"/>
  <c r="L220" i="11"/>
  <c r="L219" i="11"/>
  <c r="L218" i="11"/>
  <c r="P217" i="11"/>
  <c r="N217" i="11"/>
  <c r="J216" i="11"/>
  <c r="I215" i="11"/>
  <c r="I208" i="11" s="1"/>
  <c r="K208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I197" i="11" s="1"/>
  <c r="K197" i="11" s="1"/>
  <c r="L202" i="11"/>
  <c r="L201" i="11"/>
  <c r="L200" i="11"/>
  <c r="L199" i="11"/>
  <c r="P198" i="11"/>
  <c r="N198" i="11"/>
  <c r="J197" i="11"/>
  <c r="J194" i="11"/>
  <c r="I193" i="11"/>
  <c r="P191" i="11"/>
  <c r="L191" i="11"/>
  <c r="O191" i="11" s="1"/>
  <c r="J190" i="11"/>
  <c r="N189" i="11"/>
  <c r="N187" i="11" s="1"/>
  <c r="M189" i="11"/>
  <c r="P189" i="11" s="1"/>
  <c r="L189" i="11"/>
  <c r="P188" i="11"/>
  <c r="O188" i="11"/>
  <c r="N186" i="11"/>
  <c r="N184" i="11" s="1"/>
  <c r="M186" i="11"/>
  <c r="L186" i="11"/>
  <c r="P185" i="11"/>
  <c r="O185" i="11"/>
  <c r="N182" i="11"/>
  <c r="M182" i="11"/>
  <c r="L182" i="11"/>
  <c r="O182" i="11" s="1"/>
  <c r="J177" i="11"/>
  <c r="I176" i="11"/>
  <c r="J174" i="11"/>
  <c r="J164" i="11" s="1"/>
  <c r="N173" i="11"/>
  <c r="N171" i="11" s="1"/>
  <c r="M173" i="11"/>
  <c r="L173" i="11"/>
  <c r="P172" i="11"/>
  <c r="O172" i="11"/>
  <c r="N170" i="11"/>
  <c r="M170" i="11"/>
  <c r="L170" i="11"/>
  <c r="P169" i="11"/>
  <c r="O169" i="11"/>
  <c r="O166" i="11"/>
  <c r="N166" i="11"/>
  <c r="M166" i="11"/>
  <c r="L166" i="11"/>
  <c r="I159" i="11"/>
  <c r="K159" i="11" s="1"/>
  <c r="N157" i="11"/>
  <c r="N155" i="11" s="1"/>
  <c r="M157" i="11"/>
  <c r="P157" i="11" s="1"/>
  <c r="L157" i="11"/>
  <c r="L155" i="11" s="1"/>
  <c r="O155" i="11" s="1"/>
  <c r="P156" i="11"/>
  <c r="O156" i="11"/>
  <c r="N154" i="11"/>
  <c r="N152" i="11" s="1"/>
  <c r="M154" i="11"/>
  <c r="P154" i="11" s="1"/>
  <c r="L154" i="11"/>
  <c r="L152" i="11" s="1"/>
  <c r="O152" i="11" s="1"/>
  <c r="P153" i="11"/>
  <c r="O153" i="11"/>
  <c r="O150" i="11"/>
  <c r="N150" i="11"/>
  <c r="M150" i="11"/>
  <c r="P150" i="11" s="1"/>
  <c r="L150" i="11"/>
  <c r="J148" i="11"/>
  <c r="I146" i="11"/>
  <c r="I130" i="11" s="1"/>
  <c r="K130" i="11" s="1"/>
  <c r="I145" i="11"/>
  <c r="K145" i="11" s="1"/>
  <c r="I144" i="11"/>
  <c r="K144" i="11" s="1"/>
  <c r="N140" i="11"/>
  <c r="N138" i="11" s="1"/>
  <c r="M140" i="11"/>
  <c r="P140" i="11" s="1"/>
  <c r="L140" i="11"/>
  <c r="O140" i="11" s="1"/>
  <c r="P139" i="11"/>
  <c r="O139" i="11"/>
  <c r="N137" i="11"/>
  <c r="M137" i="11"/>
  <c r="P137" i="11" s="1"/>
  <c r="L137" i="11"/>
  <c r="O137" i="11" s="1"/>
  <c r="P136" i="11"/>
  <c r="O136" i="11"/>
  <c r="P133" i="11"/>
  <c r="N133" i="11"/>
  <c r="M133" i="11"/>
  <c r="L133" i="11"/>
  <c r="J130" i="11"/>
  <c r="N127" i="11"/>
  <c r="N125" i="11" s="1"/>
  <c r="M127" i="11"/>
  <c r="P127" i="11" s="1"/>
  <c r="L127" i="11"/>
  <c r="L125" i="11" s="1"/>
  <c r="O125" i="11" s="1"/>
  <c r="P126" i="11"/>
  <c r="O126" i="11"/>
  <c r="N124" i="11"/>
  <c r="N122" i="11" s="1"/>
  <c r="M124" i="11"/>
  <c r="P124" i="11" s="1"/>
  <c r="L124" i="11"/>
  <c r="L122" i="11" s="1"/>
  <c r="O122" i="11" s="1"/>
  <c r="P123" i="11"/>
  <c r="O123" i="11"/>
  <c r="O120" i="11"/>
  <c r="N120" i="11"/>
  <c r="M120" i="11"/>
  <c r="P120" i="11" s="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K99" i="11" s="1"/>
  <c r="J98" i="11"/>
  <c r="J86" i="11" s="1"/>
  <c r="I98" i="11"/>
  <c r="I86" i="11" s="1"/>
  <c r="N96" i="11"/>
  <c r="N94" i="11" s="1"/>
  <c r="M96" i="11"/>
  <c r="P96" i="11" s="1"/>
  <c r="L96" i="11"/>
  <c r="P95" i="11"/>
  <c r="O95" i="11"/>
  <c r="N93" i="11"/>
  <c r="N91" i="11" s="1"/>
  <c r="M93" i="11"/>
  <c r="L93" i="11"/>
  <c r="P92" i="11"/>
  <c r="O92" i="11"/>
  <c r="P89" i="11"/>
  <c r="N89" i="11"/>
  <c r="M89" i="11"/>
  <c r="L89" i="11"/>
  <c r="J87" i="11"/>
  <c r="I84" i="11"/>
  <c r="K84" i="11" s="1"/>
  <c r="I83" i="11"/>
  <c r="K83" i="11" s="1"/>
  <c r="I82" i="11"/>
  <c r="K82" i="11" s="1"/>
  <c r="I81" i="11"/>
  <c r="K81" i="11" s="1"/>
  <c r="I80" i="11"/>
  <c r="I79" i="11"/>
  <c r="K79" i="11" s="1"/>
  <c r="I78" i="11"/>
  <c r="K78" i="11" s="1"/>
  <c r="J77" i="11"/>
  <c r="J65" i="11" s="1"/>
  <c r="J76" i="11"/>
  <c r="N74" i="11"/>
  <c r="N72" i="11" s="1"/>
  <c r="M74" i="11"/>
  <c r="P74" i="11" s="1"/>
  <c r="L74" i="11"/>
  <c r="O74" i="11" s="1"/>
  <c r="P73" i="11"/>
  <c r="O73" i="11"/>
  <c r="N71" i="11"/>
  <c r="N69" i="11" s="1"/>
  <c r="M71" i="11"/>
  <c r="P71" i="11" s="1"/>
  <c r="L71" i="11"/>
  <c r="O71" i="11" s="1"/>
  <c r="P70" i="11"/>
  <c r="O70" i="11"/>
  <c r="P67" i="11"/>
  <c r="O67" i="11"/>
  <c r="N67" i="11"/>
  <c r="M67" i="11"/>
  <c r="L67" i="11"/>
  <c r="J64" i="11"/>
  <c r="N61" i="11"/>
  <c r="N59" i="11" s="1"/>
  <c r="M61" i="11"/>
  <c r="L61" i="11"/>
  <c r="P60" i="11"/>
  <c r="O60" i="11"/>
  <c r="N58" i="11"/>
  <c r="N56" i="11" s="1"/>
  <c r="M58" i="11"/>
  <c r="L58" i="11"/>
  <c r="P57" i="11"/>
  <c r="O57" i="11"/>
  <c r="N54" i="11"/>
  <c r="M54" i="11"/>
  <c r="L54" i="11"/>
  <c r="N49" i="11"/>
  <c r="N47" i="11" s="1"/>
  <c r="M49" i="11"/>
  <c r="P49" i="11" s="1"/>
  <c r="L49" i="11"/>
  <c r="O49" i="11" s="1"/>
  <c r="P48" i="11"/>
  <c r="O48" i="11"/>
  <c r="N46" i="11"/>
  <c r="N44" i="11" s="1"/>
  <c r="M46" i="11"/>
  <c r="M44" i="11" s="1"/>
  <c r="L46" i="11"/>
  <c r="P45" i="11"/>
  <c r="O45" i="11"/>
  <c r="P42" i="11"/>
  <c r="O42" i="11"/>
  <c r="N42" i="11"/>
  <c r="M42" i="11"/>
  <c r="L42" i="11"/>
  <c r="N36" i="11"/>
  <c r="M36" i="11"/>
  <c r="P36" i="11" s="1"/>
  <c r="P35" i="11"/>
  <c r="N35" i="11"/>
  <c r="M35" i="11"/>
  <c r="M34" i="11" s="1"/>
  <c r="P34" i="11" s="1"/>
  <c r="L35" i="11"/>
  <c r="N34" i="11"/>
  <c r="N33" i="11"/>
  <c r="N30" i="11" s="1"/>
  <c r="O32" i="11"/>
  <c r="N32" i="11"/>
  <c r="M32" i="11"/>
  <c r="P32" i="11" s="1"/>
  <c r="L32" i="11"/>
  <c r="L29" i="11"/>
  <c r="O25" i="11"/>
  <c r="N25" i="11"/>
  <c r="M25" i="11"/>
  <c r="P25" i="11" s="1"/>
  <c r="L25" i="11"/>
  <c r="P22" i="11"/>
  <c r="N22" i="11"/>
  <c r="M22" i="11"/>
  <c r="L22" i="11"/>
  <c r="N19" i="11"/>
  <c r="M19" i="11"/>
  <c r="P19" i="11" s="1"/>
  <c r="L15" i="11"/>
  <c r="M12" i="11"/>
  <c r="P12" i="11" s="1"/>
  <c r="J828" i="10"/>
  <c r="I828" i="10"/>
  <c r="J827" i="10"/>
  <c r="I827" i="10"/>
  <c r="J826" i="10"/>
  <c r="I826" i="10"/>
  <c r="K826" i="10" s="1"/>
  <c r="J825" i="10"/>
  <c r="I825" i="10"/>
  <c r="K825" i="10" s="1"/>
  <c r="J824" i="10"/>
  <c r="J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N807" i="10" s="1"/>
  <c r="N805" i="10" s="1"/>
  <c r="P809" i="10"/>
  <c r="O809" i="10"/>
  <c r="P808" i="10"/>
  <c r="O808" i="10"/>
  <c r="N808" i="10"/>
  <c r="M808" i="10"/>
  <c r="L808" i="10"/>
  <c r="O807" i="10"/>
  <c r="M807" i="10"/>
  <c r="L807" i="10"/>
  <c r="N806" i="10"/>
  <c r="M806" i="10"/>
  <c r="P806" i="10" s="1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N786" i="10" s="1"/>
  <c r="L791" i="10"/>
  <c r="L789" i="10" s="1"/>
  <c r="O789" i="10" s="1"/>
  <c r="P790" i="10"/>
  <c r="O790" i="10"/>
  <c r="P789" i="10"/>
  <c r="N789" i="10"/>
  <c r="M789" i="10"/>
  <c r="M788" i="10"/>
  <c r="P787" i="10"/>
  <c r="N787" i="10"/>
  <c r="M787" i="10"/>
  <c r="L787" i="10"/>
  <c r="P782" i="10"/>
  <c r="O782" i="10"/>
  <c r="P781" i="10"/>
  <c r="O781" i="10"/>
  <c r="N780" i="10"/>
  <c r="M780" i="10"/>
  <c r="P780" i="10" s="1"/>
  <c r="L780" i="10"/>
  <c r="O780" i="10" s="1"/>
  <c r="P775" i="10"/>
  <c r="O775" i="10"/>
  <c r="N775" i="10"/>
  <c r="P774" i="10"/>
  <c r="O774" i="10"/>
  <c r="O773" i="10"/>
  <c r="N773" i="10"/>
  <c r="M773" i="10"/>
  <c r="P773" i="10" s="1"/>
  <c r="L773" i="10"/>
  <c r="P772" i="10"/>
  <c r="N772" i="10"/>
  <c r="N770" i="10" s="1"/>
  <c r="M772" i="10"/>
  <c r="L772" i="10"/>
  <c r="O772" i="10" s="1"/>
  <c r="O771" i="10"/>
  <c r="N771" i="10"/>
  <c r="M771" i="10"/>
  <c r="L771" i="10"/>
  <c r="L770" i="10"/>
  <c r="O770" i="10" s="1"/>
  <c r="K769" i="10"/>
  <c r="J769" i="10"/>
  <c r="P766" i="10"/>
  <c r="O766" i="10"/>
  <c r="P765" i="10"/>
  <c r="O765" i="10"/>
  <c r="O764" i="10"/>
  <c r="N764" i="10"/>
  <c r="M764" i="10"/>
  <c r="P764" i="10" s="1"/>
  <c r="L764" i="10"/>
  <c r="P759" i="10"/>
  <c r="O759" i="10"/>
  <c r="N759" i="10"/>
  <c r="P758" i="10"/>
  <c r="O758" i="10"/>
  <c r="O757" i="10"/>
  <c r="N757" i="10"/>
  <c r="M757" i="10"/>
  <c r="P757" i="10" s="1"/>
  <c r="L757" i="10"/>
  <c r="P756" i="10"/>
  <c r="N756" i="10"/>
  <c r="N754" i="10" s="1"/>
  <c r="M756" i="10"/>
  <c r="L756" i="10"/>
  <c r="O756" i="10" s="1"/>
  <c r="O755" i="10"/>
  <c r="N755" i="10"/>
  <c r="M755" i="10"/>
  <c r="L755" i="10"/>
  <c r="L754" i="10"/>
  <c r="O754" i="10" s="1"/>
  <c r="K753" i="10"/>
  <c r="J753" i="10"/>
  <c r="P749" i="10"/>
  <c r="O749" i="10"/>
  <c r="P748" i="10"/>
  <c r="O748" i="10"/>
  <c r="N747" i="10"/>
  <c r="M747" i="10"/>
  <c r="P747" i="10" s="1"/>
  <c r="L747" i="10"/>
  <c r="O747" i="10" s="1"/>
  <c r="P742" i="10"/>
  <c r="O742" i="10"/>
  <c r="N742" i="10"/>
  <c r="P741" i="10"/>
  <c r="O741" i="10"/>
  <c r="O740" i="10"/>
  <c r="N740" i="10"/>
  <c r="M740" i="10"/>
  <c r="P740" i="10" s="1"/>
  <c r="L740" i="10"/>
  <c r="P739" i="10"/>
  <c r="N739" i="10"/>
  <c r="N737" i="10" s="1"/>
  <c r="M739" i="10"/>
  <c r="L739" i="10"/>
  <c r="O739" i="10" s="1"/>
  <c r="O738" i="10"/>
  <c r="N738" i="10"/>
  <c r="M738" i="10"/>
  <c r="L738" i="10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O695" i="10"/>
  <c r="N695" i="10"/>
  <c r="M695" i="10"/>
  <c r="P695" i="10" s="1"/>
  <c r="L695" i="10"/>
  <c r="P690" i="10"/>
  <c r="N690" i="10"/>
  <c r="L690" i="10"/>
  <c r="O690" i="10" s="1"/>
  <c r="P688" i="10"/>
  <c r="N688" i="10"/>
  <c r="M688" i="10"/>
  <c r="N687" i="10"/>
  <c r="M687" i="10"/>
  <c r="N686" i="10"/>
  <c r="M686" i="10"/>
  <c r="P686" i="10" s="1"/>
  <c r="L686" i="10"/>
  <c r="N685" i="10"/>
  <c r="J679" i="10"/>
  <c r="J678" i="10" s="1"/>
  <c r="I678" i="10"/>
  <c r="K678" i="10" s="1"/>
  <c r="J675" i="10"/>
  <c r="J669" i="10" s="1"/>
  <c r="J654" i="10" s="1"/>
  <c r="I671" i="10"/>
  <c r="K671" i="10" s="1"/>
  <c r="I670" i="10"/>
  <c r="K670" i="10" s="1"/>
  <c r="I669" i="10"/>
  <c r="K673" i="10" s="1"/>
  <c r="P667" i="10"/>
  <c r="O667" i="10"/>
  <c r="P666" i="10"/>
  <c r="O666" i="10"/>
  <c r="N665" i="10"/>
  <c r="M665" i="10"/>
  <c r="P665" i="10" s="1"/>
  <c r="L665" i="10"/>
  <c r="O665" i="10" s="1"/>
  <c r="P660" i="10"/>
  <c r="N660" i="10"/>
  <c r="N657" i="10" s="1"/>
  <c r="L660" i="10"/>
  <c r="O660" i="10" s="1"/>
  <c r="P659" i="10"/>
  <c r="O659" i="10"/>
  <c r="N658" i="10"/>
  <c r="M658" i="10"/>
  <c r="P658" i="10" s="1"/>
  <c r="P657" i="10"/>
  <c r="M657" i="10"/>
  <c r="M655" i="10" s="1"/>
  <c r="P655" i="10" s="1"/>
  <c r="P656" i="10"/>
  <c r="O656" i="10"/>
  <c r="N656" i="10"/>
  <c r="M656" i="10"/>
  <c r="L656" i="10"/>
  <c r="N655" i="10"/>
  <c r="K652" i="10"/>
  <c r="J652" i="10"/>
  <c r="J651" i="10"/>
  <c r="J628" i="10" s="1"/>
  <c r="I651" i="10"/>
  <c r="I628" i="10" s="1"/>
  <c r="K628" i="10" s="1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P640" i="10"/>
  <c r="O640" i="10"/>
  <c r="P639" i="10"/>
  <c r="N639" i="10"/>
  <c r="M639" i="10"/>
  <c r="P634" i="10"/>
  <c r="N634" i="10"/>
  <c r="L634" i="10"/>
  <c r="P633" i="10"/>
  <c r="O633" i="10"/>
  <c r="N632" i="10"/>
  <c r="M632" i="10"/>
  <c r="P632" i="10" s="1"/>
  <c r="N631" i="10"/>
  <c r="M631" i="10"/>
  <c r="P631" i="10" s="1"/>
  <c r="N630" i="10"/>
  <c r="N629" i="10" s="1"/>
  <c r="M630" i="10"/>
  <c r="P630" i="10" s="1"/>
  <c r="L630" i="10"/>
  <c r="O630" i="10" s="1"/>
  <c r="P629" i="10"/>
  <c r="M629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3" i="10" s="1"/>
  <c r="J596" i="10"/>
  <c r="J594" i="10" s="1"/>
  <c r="J595" i="10"/>
  <c r="I594" i="10"/>
  <c r="K594" i="10" s="1"/>
  <c r="I593" i="10"/>
  <c r="I592" i="10" s="1"/>
  <c r="J583" i="10"/>
  <c r="J582" i="10"/>
  <c r="J577" i="10"/>
  <c r="I577" i="10"/>
  <c r="K577" i="10" s="1"/>
  <c r="J576" i="10"/>
  <c r="I576" i="10"/>
  <c r="I559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J559" i="10"/>
  <c r="J543" i="10" s="1"/>
  <c r="P557" i="10"/>
  <c r="L557" i="10"/>
  <c r="L555" i="10" s="1"/>
  <c r="O555" i="10" s="1"/>
  <c r="P556" i="10"/>
  <c r="O556" i="10"/>
  <c r="N555" i="10"/>
  <c r="N545" i="10" s="1"/>
  <c r="N544" i="10" s="1"/>
  <c r="M555" i="10"/>
  <c r="P555" i="10" s="1"/>
  <c r="N549" i="10"/>
  <c r="L549" i="10"/>
  <c r="O549" i="10" s="1"/>
  <c r="P548" i="10"/>
  <c r="O548" i="10"/>
  <c r="N547" i="10"/>
  <c r="N546" i="10"/>
  <c r="O545" i="10"/>
  <c r="L545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P535" i="10"/>
  <c r="L535" i="10"/>
  <c r="O535" i="10" s="1"/>
  <c r="P534" i="10"/>
  <c r="O534" i="10"/>
  <c r="P533" i="10"/>
  <c r="N533" i="10"/>
  <c r="M533" i="10"/>
  <c r="P528" i="10"/>
  <c r="N528" i="10"/>
  <c r="L528" i="10"/>
  <c r="O528" i="10" s="1"/>
  <c r="P527" i="10"/>
  <c r="O527" i="10"/>
  <c r="N526" i="10"/>
  <c r="M526" i="10"/>
  <c r="P526" i="10" s="1"/>
  <c r="P525" i="10"/>
  <c r="N525" i="10"/>
  <c r="N523" i="10" s="1"/>
  <c r="M525" i="10"/>
  <c r="O524" i="10"/>
  <c r="N524" i="10"/>
  <c r="M524" i="10"/>
  <c r="L524" i="10"/>
  <c r="K517" i="10"/>
  <c r="J517" i="10"/>
  <c r="K516" i="10"/>
  <c r="P514" i="10"/>
  <c r="O514" i="10"/>
  <c r="P513" i="10"/>
  <c r="O513" i="10"/>
  <c r="O512" i="10"/>
  <c r="N512" i="10"/>
  <c r="M512" i="10"/>
  <c r="P512" i="10" s="1"/>
  <c r="L512" i="10"/>
  <c r="P507" i="10"/>
  <c r="O507" i="10"/>
  <c r="N507" i="10"/>
  <c r="P506" i="10"/>
  <c r="O506" i="10"/>
  <c r="O505" i="10"/>
  <c r="M505" i="10"/>
  <c r="P505" i="10" s="1"/>
  <c r="L505" i="10"/>
  <c r="P504" i="10"/>
  <c r="M504" i="10"/>
  <c r="L504" i="10"/>
  <c r="O503" i="10"/>
  <c r="N503" i="10"/>
  <c r="M503" i="10"/>
  <c r="P503" i="10" s="1"/>
  <c r="L503" i="10"/>
  <c r="P502" i="10"/>
  <c r="M502" i="10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P478" i="10"/>
  <c r="O478" i="10"/>
  <c r="P477" i="10"/>
  <c r="N477" i="10"/>
  <c r="M477" i="10"/>
  <c r="N472" i="10"/>
  <c r="L472" i="10"/>
  <c r="L470" i="10" s="1"/>
  <c r="P471" i="10"/>
  <c r="O471" i="10"/>
  <c r="N470" i="10"/>
  <c r="N469" i="10"/>
  <c r="N468" i="10"/>
  <c r="M468" i="10"/>
  <c r="P468" i="10" s="1"/>
  <c r="L468" i="10"/>
  <c r="N467" i="10"/>
  <c r="J466" i="10"/>
  <c r="I466" i="10"/>
  <c r="K466" i="10" s="1"/>
  <c r="J465" i="10"/>
  <c r="I465" i="10"/>
  <c r="K465" i="10" s="1"/>
  <c r="I464" i="10"/>
  <c r="I463" i="10"/>
  <c r="I462" i="10"/>
  <c r="K462" i="10" s="1"/>
  <c r="I460" i="10"/>
  <c r="K458" i="10"/>
  <c r="P456" i="10"/>
  <c r="L456" i="10"/>
  <c r="O456" i="10" s="1"/>
  <c r="P455" i="10"/>
  <c r="O455" i="10"/>
  <c r="P454" i="10"/>
  <c r="N454" i="10"/>
  <c r="M454" i="10"/>
  <c r="N449" i="10"/>
  <c r="N447" i="10" s="1"/>
  <c r="L449" i="10"/>
  <c r="M449" i="10" s="1"/>
  <c r="P448" i="10"/>
  <c r="O448" i="10"/>
  <c r="N446" i="10"/>
  <c r="P445" i="10"/>
  <c r="N445" i="10"/>
  <c r="N444" i="10" s="1"/>
  <c r="M445" i="10"/>
  <c r="L445" i="10"/>
  <c r="O445" i="10" s="1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J434" i="10"/>
  <c r="J418" i="10" s="1"/>
  <c r="P431" i="10"/>
  <c r="L431" i="10"/>
  <c r="L429" i="10" s="1"/>
  <c r="O429" i="10" s="1"/>
  <c r="P430" i="10"/>
  <c r="O430" i="10"/>
  <c r="N429" i="10"/>
  <c r="M429" i="10"/>
  <c r="P429" i="10" s="1"/>
  <c r="N424" i="10"/>
  <c r="L424" i="10"/>
  <c r="O424" i="10" s="1"/>
  <c r="P423" i="10"/>
  <c r="O423" i="10"/>
  <c r="N422" i="10"/>
  <c r="N421" i="10"/>
  <c r="O420" i="10"/>
  <c r="N420" i="10"/>
  <c r="M420" i="10"/>
  <c r="P420" i="10" s="1"/>
  <c r="L420" i="10"/>
  <c r="N419" i="10"/>
  <c r="K413" i="10"/>
  <c r="K412" i="10"/>
  <c r="N410" i="10"/>
  <c r="N408" i="10" s="1"/>
  <c r="M410" i="10"/>
  <c r="M408" i="10" s="1"/>
  <c r="P408" i="10" s="1"/>
  <c r="L410" i="10"/>
  <c r="O410" i="10" s="1"/>
  <c r="P409" i="10"/>
  <c r="O409" i="10"/>
  <c r="N407" i="10"/>
  <c r="N405" i="10" s="1"/>
  <c r="M407" i="10"/>
  <c r="L407" i="10"/>
  <c r="O407" i="10" s="1"/>
  <c r="P406" i="10"/>
  <c r="O406" i="10"/>
  <c r="O403" i="10"/>
  <c r="N403" i="10"/>
  <c r="M403" i="10"/>
  <c r="L403" i="10"/>
  <c r="J401" i="10"/>
  <c r="I401" i="10"/>
  <c r="K401" i="10" s="1"/>
  <c r="K400" i="10"/>
  <c r="K399" i="10"/>
  <c r="N397" i="10"/>
  <c r="N395" i="10" s="1"/>
  <c r="M397" i="10"/>
  <c r="M395" i="10" s="1"/>
  <c r="P395" i="10" s="1"/>
  <c r="L397" i="10"/>
  <c r="O397" i="10" s="1"/>
  <c r="P396" i="10"/>
  <c r="O396" i="10"/>
  <c r="N394" i="10"/>
  <c r="N392" i="10" s="1"/>
  <c r="M394" i="10"/>
  <c r="M392" i="10" s="1"/>
  <c r="P392" i="10" s="1"/>
  <c r="L394" i="10"/>
  <c r="O394" i="10" s="1"/>
  <c r="P393" i="10"/>
  <c r="O393" i="10"/>
  <c r="O390" i="10"/>
  <c r="N390" i="10"/>
  <c r="M390" i="10"/>
  <c r="P390" i="10" s="1"/>
  <c r="L390" i="10"/>
  <c r="K388" i="10"/>
  <c r="J388" i="10"/>
  <c r="I388" i="10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M351" i="10" s="1"/>
  <c r="L353" i="10"/>
  <c r="P352" i="10"/>
  <c r="O352" i="10"/>
  <c r="N350" i="10"/>
  <c r="N348" i="10" s="1"/>
  <c r="M350" i="10"/>
  <c r="M348" i="10" s="1"/>
  <c r="L350" i="10"/>
  <c r="P349" i="10"/>
  <c r="O349" i="10"/>
  <c r="O346" i="10"/>
  <c r="N346" i="10"/>
  <c r="M346" i="10"/>
  <c r="P346" i="10" s="1"/>
  <c r="L346" i="10"/>
  <c r="J343" i="10"/>
  <c r="J342" i="10"/>
  <c r="J341" i="10"/>
  <c r="J340" i="10"/>
  <c r="I340" i="10"/>
  <c r="J338" i="10"/>
  <c r="I338" i="10"/>
  <c r="N336" i="10"/>
  <c r="N334" i="10" s="1"/>
  <c r="M336" i="10"/>
  <c r="L336" i="10"/>
  <c r="P335" i="10"/>
  <c r="O335" i="10"/>
  <c r="N333" i="10"/>
  <c r="N331" i="10" s="1"/>
  <c r="M333" i="10"/>
  <c r="L333" i="10"/>
  <c r="P332" i="10"/>
  <c r="O332" i="10"/>
  <c r="P329" i="10"/>
  <c r="O329" i="10"/>
  <c r="N329" i="10"/>
  <c r="M329" i="10"/>
  <c r="L329" i="10"/>
  <c r="I327" i="10"/>
  <c r="I325" i="10"/>
  <c r="K325" i="10" s="1"/>
  <c r="N323" i="10"/>
  <c r="N321" i="10" s="1"/>
  <c r="M323" i="10"/>
  <c r="L323" i="10"/>
  <c r="P322" i="10"/>
  <c r="O322" i="10"/>
  <c r="N320" i="10"/>
  <c r="N318" i="10" s="1"/>
  <c r="M320" i="10"/>
  <c r="P320" i="10" s="1"/>
  <c r="L320" i="10"/>
  <c r="L318" i="10" s="1"/>
  <c r="O318" i="10" s="1"/>
  <c r="P319" i="10"/>
  <c r="O319" i="10"/>
  <c r="N316" i="10"/>
  <c r="M316" i="10"/>
  <c r="L316" i="10"/>
  <c r="O316" i="10" s="1"/>
  <c r="J314" i="10"/>
  <c r="I312" i="10"/>
  <c r="K312" i="10" s="1"/>
  <c r="I311" i="10"/>
  <c r="K311" i="10" s="1"/>
  <c r="I310" i="10"/>
  <c r="K310" i="10" s="1"/>
  <c r="I309" i="10"/>
  <c r="N306" i="10"/>
  <c r="N304" i="10" s="1"/>
  <c r="M306" i="10"/>
  <c r="M304" i="10" s="1"/>
  <c r="P304" i="10" s="1"/>
  <c r="L306" i="10"/>
  <c r="P305" i="10"/>
  <c r="O305" i="10"/>
  <c r="N303" i="10"/>
  <c r="M303" i="10"/>
  <c r="M301" i="10" s="1"/>
  <c r="P301" i="10" s="1"/>
  <c r="L303" i="10"/>
  <c r="P302" i="10"/>
  <c r="O302" i="10"/>
  <c r="P299" i="10"/>
  <c r="O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K288" i="10" s="1"/>
  <c r="I287" i="10"/>
  <c r="K287" i="10" s="1"/>
  <c r="N285" i="10"/>
  <c r="N283" i="10" s="1"/>
  <c r="M285" i="10"/>
  <c r="L285" i="10"/>
  <c r="P284" i="10"/>
  <c r="O284" i="10"/>
  <c r="N282" i="10"/>
  <c r="M282" i="10"/>
  <c r="L282" i="10"/>
  <c r="O282" i="10" s="1"/>
  <c r="P281" i="10"/>
  <c r="O281" i="10"/>
  <c r="P278" i="10"/>
  <c r="N278" i="10"/>
  <c r="M278" i="10"/>
  <c r="L278" i="10"/>
  <c r="O278" i="10" s="1"/>
  <c r="J276" i="10"/>
  <c r="I271" i="10"/>
  <c r="K271" i="10" s="1"/>
  <c r="N269" i="10"/>
  <c r="N267" i="10" s="1"/>
  <c r="M269" i="10"/>
  <c r="P269" i="10" s="1"/>
  <c r="L269" i="10"/>
  <c r="P268" i="10"/>
  <c r="O268" i="10"/>
  <c r="N266" i="10"/>
  <c r="M266" i="10"/>
  <c r="L266" i="10"/>
  <c r="P265" i="10"/>
  <c r="O265" i="10"/>
  <c r="O262" i="10"/>
  <c r="N262" i="10"/>
  <c r="M262" i="10"/>
  <c r="L262" i="10"/>
  <c r="J260" i="10"/>
  <c r="K258" i="10"/>
  <c r="K257" i="10"/>
  <c r="I255" i="10"/>
  <c r="L253" i="10"/>
  <c r="L252" i="10"/>
  <c r="L251" i="10"/>
  <c r="L250" i="10"/>
  <c r="P249" i="10"/>
  <c r="N249" i="10"/>
  <c r="J248" i="10"/>
  <c r="K247" i="10"/>
  <c r="K246" i="10"/>
  <c r="I244" i="10"/>
  <c r="L242" i="10"/>
  <c r="L241" i="10"/>
  <c r="L240" i="10"/>
  <c r="L239" i="10"/>
  <c r="P238" i="10"/>
  <c r="N238" i="10"/>
  <c r="N227" i="10" s="1"/>
  <c r="J237" i="10"/>
  <c r="J226" i="10" s="1"/>
  <c r="K236" i="10"/>
  <c r="J236" i="10"/>
  <c r="I236" i="10"/>
  <c r="K235" i="10"/>
  <c r="J235" i="10"/>
  <c r="I235" i="10"/>
  <c r="J233" i="10"/>
  <c r="N231" i="10"/>
  <c r="N230" i="10"/>
  <c r="N229" i="10"/>
  <c r="N228" i="10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I204" i="10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L189" i="10"/>
  <c r="P188" i="10"/>
  <c r="O188" i="10"/>
  <c r="N186" i="10"/>
  <c r="M186" i="10"/>
  <c r="M184" i="10" s="1"/>
  <c r="L186" i="10"/>
  <c r="L184" i="10" s="1"/>
  <c r="P185" i="10"/>
  <c r="O185" i="10"/>
  <c r="O182" i="10"/>
  <c r="N182" i="10"/>
  <c r="M182" i="10"/>
  <c r="P182" i="10" s="1"/>
  <c r="L182" i="10"/>
  <c r="J180" i="10"/>
  <c r="J177" i="10"/>
  <c r="I176" i="10"/>
  <c r="K176" i="10" s="1"/>
  <c r="J174" i="10"/>
  <c r="J164" i="10" s="1"/>
  <c r="N173" i="10"/>
  <c r="N171" i="10" s="1"/>
  <c r="M173" i="10"/>
  <c r="L173" i="10"/>
  <c r="O173" i="10" s="1"/>
  <c r="P172" i="10"/>
  <c r="O172" i="10"/>
  <c r="N170" i="10"/>
  <c r="N168" i="10" s="1"/>
  <c r="M170" i="10"/>
  <c r="L170" i="10"/>
  <c r="P169" i="10"/>
  <c r="O169" i="10"/>
  <c r="P166" i="10"/>
  <c r="O166" i="10"/>
  <c r="N166" i="10"/>
  <c r="M166" i="10"/>
  <c r="L166" i="10"/>
  <c r="I159" i="10"/>
  <c r="N157" i="10"/>
  <c r="N155" i="10" s="1"/>
  <c r="M157" i="10"/>
  <c r="P157" i="10" s="1"/>
  <c r="L157" i="10"/>
  <c r="O157" i="10" s="1"/>
  <c r="P156" i="10"/>
  <c r="O156" i="10"/>
  <c r="N154" i="10"/>
  <c r="N152" i="10" s="1"/>
  <c r="M154" i="10"/>
  <c r="M152" i="10" s="1"/>
  <c r="P152" i="10" s="1"/>
  <c r="L154" i="10"/>
  <c r="O154" i="10" s="1"/>
  <c r="P153" i="10"/>
  <c r="O153" i="10"/>
  <c r="P150" i="10"/>
  <c r="N150" i="10"/>
  <c r="M150" i="10"/>
  <c r="L150" i="10"/>
  <c r="O150" i="10" s="1"/>
  <c r="J148" i="10"/>
  <c r="I146" i="10"/>
  <c r="I145" i="10"/>
  <c r="K145" i="10" s="1"/>
  <c r="I144" i="10"/>
  <c r="N140" i="10"/>
  <c r="N138" i="10" s="1"/>
  <c r="M140" i="10"/>
  <c r="M138" i="10" s="1"/>
  <c r="P138" i="10" s="1"/>
  <c r="L140" i="10"/>
  <c r="P139" i="10"/>
  <c r="O139" i="10"/>
  <c r="N137" i="10"/>
  <c r="M137" i="10"/>
  <c r="M135" i="10" s="1"/>
  <c r="P135" i="10" s="1"/>
  <c r="L137" i="10"/>
  <c r="P136" i="10"/>
  <c r="O136" i="10"/>
  <c r="P133" i="10"/>
  <c r="O133" i="10"/>
  <c r="N133" i="10"/>
  <c r="M133" i="10"/>
  <c r="L133" i="10"/>
  <c r="J130" i="10"/>
  <c r="N127" i="10"/>
  <c r="N125" i="10" s="1"/>
  <c r="M127" i="10"/>
  <c r="P127" i="10" s="1"/>
  <c r="L127" i="10"/>
  <c r="O127" i="10" s="1"/>
  <c r="P126" i="10"/>
  <c r="O126" i="10"/>
  <c r="N124" i="10"/>
  <c r="M124" i="10"/>
  <c r="P124" i="10" s="1"/>
  <c r="L124" i="10"/>
  <c r="O124" i="10" s="1"/>
  <c r="P123" i="10"/>
  <c r="O123" i="10"/>
  <c r="N120" i="10"/>
  <c r="M120" i="10"/>
  <c r="L120" i="10"/>
  <c r="O120" i="10" s="1"/>
  <c r="I116" i="10"/>
  <c r="K116" i="10" s="1"/>
  <c r="I115" i="10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J99" i="10"/>
  <c r="I99" i="10"/>
  <c r="J98" i="10"/>
  <c r="I98" i="10"/>
  <c r="K98" i="10" s="1"/>
  <c r="N96" i="10"/>
  <c r="N94" i="10" s="1"/>
  <c r="M96" i="10"/>
  <c r="M94" i="10" s="1"/>
  <c r="P94" i="10" s="1"/>
  <c r="L96" i="10"/>
  <c r="O96" i="10" s="1"/>
  <c r="P95" i="10"/>
  <c r="O95" i="10"/>
  <c r="N93" i="10"/>
  <c r="M93" i="10"/>
  <c r="M91" i="10" s="1"/>
  <c r="L93" i="10"/>
  <c r="L91" i="10" s="1"/>
  <c r="P92" i="10"/>
  <c r="O92" i="10"/>
  <c r="O89" i="10"/>
  <c r="N89" i="10"/>
  <c r="M89" i="10"/>
  <c r="P89" i="10" s="1"/>
  <c r="L89" i="10"/>
  <c r="J87" i="10"/>
  <c r="J86" i="10"/>
  <c r="I84" i="10"/>
  <c r="K84" i="10" s="1"/>
  <c r="I83" i="10"/>
  <c r="K83" i="10" s="1"/>
  <c r="I82" i="10"/>
  <c r="K82" i="10" s="1"/>
  <c r="I81" i="10"/>
  <c r="K81" i="10" s="1"/>
  <c r="I80" i="10"/>
  <c r="I79" i="10"/>
  <c r="I78" i="10"/>
  <c r="K78" i="10" s="1"/>
  <c r="J77" i="10"/>
  <c r="J65" i="10" s="1"/>
  <c r="J76" i="10"/>
  <c r="N74" i="10"/>
  <c r="M74" i="10"/>
  <c r="M72" i="10" s="1"/>
  <c r="P72" i="10" s="1"/>
  <c r="L74" i="10"/>
  <c r="P73" i="10"/>
  <c r="O73" i="10"/>
  <c r="N71" i="10"/>
  <c r="N69" i="10" s="1"/>
  <c r="M71" i="10"/>
  <c r="L71" i="10"/>
  <c r="O71" i="10" s="1"/>
  <c r="P70" i="10"/>
  <c r="O70" i="10"/>
  <c r="N67" i="10"/>
  <c r="M67" i="10"/>
  <c r="P67" i="10" s="1"/>
  <c r="L67" i="10"/>
  <c r="O67" i="10" s="1"/>
  <c r="J64" i="10"/>
  <c r="N61" i="10"/>
  <c r="N59" i="10" s="1"/>
  <c r="M61" i="10"/>
  <c r="P61" i="10" s="1"/>
  <c r="L61" i="10"/>
  <c r="P60" i="10"/>
  <c r="O60" i="10"/>
  <c r="N58" i="10"/>
  <c r="N56" i="10" s="1"/>
  <c r="M58" i="10"/>
  <c r="L58" i="10"/>
  <c r="P57" i="10"/>
  <c r="O57" i="10"/>
  <c r="O54" i="10"/>
  <c r="N54" i="10"/>
  <c r="M54" i="10"/>
  <c r="L54" i="10"/>
  <c r="N49" i="10"/>
  <c r="N47" i="10" s="1"/>
  <c r="M49" i="10"/>
  <c r="M47" i="10" s="1"/>
  <c r="P47" i="10" s="1"/>
  <c r="L49" i="10"/>
  <c r="O49" i="10" s="1"/>
  <c r="P48" i="10"/>
  <c r="O48" i="10"/>
  <c r="N46" i="10"/>
  <c r="N44" i="10" s="1"/>
  <c r="M46" i="10"/>
  <c r="L46" i="10"/>
  <c r="P45" i="10"/>
  <c r="O45" i="10"/>
  <c r="O42" i="10"/>
  <c r="N42" i="10"/>
  <c r="M42" i="10"/>
  <c r="L42" i="10"/>
  <c r="P36" i="10"/>
  <c r="N36" i="10"/>
  <c r="M36" i="10"/>
  <c r="M34" i="10" s="1"/>
  <c r="P34" i="10" s="1"/>
  <c r="P35" i="10"/>
  <c r="O35" i="10"/>
  <c r="N35" i="10"/>
  <c r="M35" i="10"/>
  <c r="L35" i="10"/>
  <c r="N34" i="10"/>
  <c r="N33" i="10"/>
  <c r="N30" i="10" s="1"/>
  <c r="O32" i="10"/>
  <c r="N32" i="10"/>
  <c r="M32" i="10"/>
  <c r="L32" i="10"/>
  <c r="O25" i="10"/>
  <c r="N25" i="10"/>
  <c r="N15" i="10" s="1"/>
  <c r="M25" i="10"/>
  <c r="P25" i="10" s="1"/>
  <c r="L25" i="10"/>
  <c r="N22" i="10"/>
  <c r="M22" i="10"/>
  <c r="P22" i="10" s="1"/>
  <c r="L22" i="10"/>
  <c r="O22" i="10" s="1"/>
  <c r="N19" i="10"/>
  <c r="M15" i="10"/>
  <c r="P15" i="10" s="1"/>
  <c r="N12" i="10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N807" i="9" s="1"/>
  <c r="P809" i="9"/>
  <c r="O809" i="9"/>
  <c r="P808" i="9"/>
  <c r="N808" i="9"/>
  <c r="M808" i="9"/>
  <c r="L808" i="9"/>
  <c r="O808" i="9" s="1"/>
  <c r="O807" i="9"/>
  <c r="M807" i="9"/>
  <c r="L807" i="9"/>
  <c r="P806" i="9"/>
  <c r="N806" i="9"/>
  <c r="M806" i="9"/>
  <c r="L806" i="9"/>
  <c r="K804" i="9"/>
  <c r="J804" i="9"/>
  <c r="K802" i="9"/>
  <c r="J801" i="9"/>
  <c r="J800" i="9"/>
  <c r="J785" i="9" s="1"/>
  <c r="I800" i="9"/>
  <c r="P798" i="9"/>
  <c r="O798" i="9"/>
  <c r="P797" i="9"/>
  <c r="O797" i="9"/>
  <c r="O796" i="9"/>
  <c r="N796" i="9"/>
  <c r="M796" i="9"/>
  <c r="P796" i="9" s="1"/>
  <c r="L796" i="9"/>
  <c r="P791" i="9"/>
  <c r="N791" i="9"/>
  <c r="N788" i="9" s="1"/>
  <c r="L791" i="9"/>
  <c r="P790" i="9"/>
  <c r="O790" i="9"/>
  <c r="P789" i="9"/>
  <c r="N789" i="9"/>
  <c r="M789" i="9"/>
  <c r="L789" i="9"/>
  <c r="O789" i="9" s="1"/>
  <c r="M788" i="9"/>
  <c r="P787" i="9"/>
  <c r="N787" i="9"/>
  <c r="N786" i="9" s="1"/>
  <c r="M787" i="9"/>
  <c r="L787" i="9"/>
  <c r="P782" i="9"/>
  <c r="O782" i="9"/>
  <c r="P781" i="9"/>
  <c r="O781" i="9"/>
  <c r="O780" i="9"/>
  <c r="N780" i="9"/>
  <c r="M780" i="9"/>
  <c r="P780" i="9" s="1"/>
  <c r="L780" i="9"/>
  <c r="P775" i="9"/>
  <c r="O775" i="9"/>
  <c r="N775" i="9"/>
  <c r="N773" i="9" s="1"/>
  <c r="P774" i="9"/>
  <c r="O774" i="9"/>
  <c r="O773" i="9"/>
  <c r="M773" i="9"/>
  <c r="P773" i="9" s="1"/>
  <c r="L773" i="9"/>
  <c r="P772" i="9"/>
  <c r="N772" i="9"/>
  <c r="N770" i="9" s="1"/>
  <c r="M772" i="9"/>
  <c r="L772" i="9"/>
  <c r="O772" i="9" s="1"/>
  <c r="O771" i="9"/>
  <c r="N771" i="9"/>
  <c r="M771" i="9"/>
  <c r="L771" i="9"/>
  <c r="L770" i="9"/>
  <c r="O770" i="9" s="1"/>
  <c r="K769" i="9"/>
  <c r="J769" i="9"/>
  <c r="P766" i="9"/>
  <c r="O766" i="9"/>
  <c r="P765" i="9"/>
  <c r="O765" i="9"/>
  <c r="O764" i="9"/>
  <c r="N764" i="9"/>
  <c r="M764" i="9"/>
  <c r="P764" i="9" s="1"/>
  <c r="L764" i="9"/>
  <c r="P759" i="9"/>
  <c r="O759" i="9"/>
  <c r="N759" i="9"/>
  <c r="N757" i="9" s="1"/>
  <c r="P758" i="9"/>
  <c r="O758" i="9"/>
  <c r="O757" i="9"/>
  <c r="M757" i="9"/>
  <c r="P757" i="9" s="1"/>
  <c r="L757" i="9"/>
  <c r="P756" i="9"/>
  <c r="N756" i="9"/>
  <c r="N754" i="9" s="1"/>
  <c r="M756" i="9"/>
  <c r="L756" i="9"/>
  <c r="O756" i="9" s="1"/>
  <c r="O755" i="9"/>
  <c r="N755" i="9"/>
  <c r="M755" i="9"/>
  <c r="L755" i="9"/>
  <c r="L754" i="9"/>
  <c r="O754" i="9" s="1"/>
  <c r="K753" i="9"/>
  <c r="J753" i="9"/>
  <c r="P749" i="9"/>
  <c r="O749" i="9"/>
  <c r="P748" i="9"/>
  <c r="O748" i="9"/>
  <c r="O747" i="9"/>
  <c r="N747" i="9"/>
  <c r="M747" i="9"/>
  <c r="P747" i="9" s="1"/>
  <c r="L747" i="9"/>
  <c r="P742" i="9"/>
  <c r="O742" i="9"/>
  <c r="N742" i="9"/>
  <c r="N740" i="9" s="1"/>
  <c r="P741" i="9"/>
  <c r="O741" i="9"/>
  <c r="O740" i="9"/>
  <c r="M740" i="9"/>
  <c r="P740" i="9" s="1"/>
  <c r="L740" i="9"/>
  <c r="P739" i="9"/>
  <c r="N739" i="9"/>
  <c r="N737" i="9" s="1"/>
  <c r="M739" i="9"/>
  <c r="L739" i="9"/>
  <c r="O739" i="9" s="1"/>
  <c r="O738" i="9"/>
  <c r="N738" i="9"/>
  <c r="M738" i="9"/>
  <c r="L738" i="9"/>
  <c r="L737" i="9"/>
  <c r="O737" i="9" s="1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O695" i="9"/>
  <c r="N695" i="9"/>
  <c r="M695" i="9"/>
  <c r="P695" i="9" s="1"/>
  <c r="L695" i="9"/>
  <c r="P690" i="9"/>
  <c r="N690" i="9"/>
  <c r="N687" i="9" s="1"/>
  <c r="L690" i="9"/>
  <c r="O690" i="9" s="1"/>
  <c r="P688" i="9"/>
  <c r="N688" i="9"/>
  <c r="M688" i="9"/>
  <c r="M687" i="9"/>
  <c r="P686" i="9"/>
  <c r="N686" i="9"/>
  <c r="N685" i="9" s="1"/>
  <c r="M686" i="9"/>
  <c r="L686" i="9"/>
  <c r="J679" i="9"/>
  <c r="J678" i="9" s="1"/>
  <c r="I678" i="9"/>
  <c r="K678" i="9" s="1"/>
  <c r="J675" i="9"/>
  <c r="I671" i="9"/>
  <c r="K671" i="9" s="1"/>
  <c r="I670" i="9"/>
  <c r="K670" i="9" s="1"/>
  <c r="J669" i="9"/>
  <c r="J654" i="9" s="1"/>
  <c r="I669" i="9"/>
  <c r="K673" i="9" s="1"/>
  <c r="P667" i="9"/>
  <c r="O667" i="9"/>
  <c r="P666" i="9"/>
  <c r="O666" i="9"/>
  <c r="P665" i="9"/>
  <c r="N665" i="9"/>
  <c r="M665" i="9"/>
  <c r="L665" i="9"/>
  <c r="O665" i="9" s="1"/>
  <c r="N660" i="9"/>
  <c r="L660" i="9"/>
  <c r="M660" i="9" s="1"/>
  <c r="P659" i="9"/>
  <c r="O659" i="9"/>
  <c r="N658" i="9"/>
  <c r="N657" i="9"/>
  <c r="P656" i="9"/>
  <c r="N656" i="9"/>
  <c r="N655" i="9" s="1"/>
  <c r="M656" i="9"/>
  <c r="L656" i="9"/>
  <c r="O656" i="9" s="1"/>
  <c r="K652" i="9"/>
  <c r="J652" i="9"/>
  <c r="J651" i="9"/>
  <c r="J628" i="9" s="1"/>
  <c r="I651" i="9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N639" i="9"/>
  <c r="M639" i="9"/>
  <c r="P639" i="9" s="1"/>
  <c r="P634" i="9"/>
  <c r="N634" i="9"/>
  <c r="N631" i="9" s="1"/>
  <c r="L634" i="9"/>
  <c r="O634" i="9" s="1"/>
  <c r="P633" i="9"/>
  <c r="O633" i="9"/>
  <c r="P632" i="9"/>
  <c r="M632" i="9"/>
  <c r="M631" i="9"/>
  <c r="P630" i="9"/>
  <c r="N630" i="9"/>
  <c r="N629" i="9" s="1"/>
  <c r="M630" i="9"/>
  <c r="L630" i="9"/>
  <c r="J621" i="9"/>
  <c r="I621" i="9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5" i="9"/>
  <c r="J593" i="9" s="1"/>
  <c r="J592" i="9" s="1"/>
  <c r="J594" i="9"/>
  <c r="I594" i="9"/>
  <c r="K594" i="9" s="1"/>
  <c r="I593" i="9"/>
  <c r="J583" i="9"/>
  <c r="J577" i="9" s="1"/>
  <c r="J582" i="9"/>
  <c r="I577" i="9"/>
  <c r="K577" i="9" s="1"/>
  <c r="J576" i="9"/>
  <c r="J559" i="9" s="1"/>
  <c r="J543" i="9" s="1"/>
  <c r="I576" i="9"/>
  <c r="I559" i="9" s="1"/>
  <c r="J569" i="9"/>
  <c r="I569" i="9"/>
  <c r="K569" i="9" s="1"/>
  <c r="J568" i="9"/>
  <c r="I568" i="9"/>
  <c r="J561" i="9"/>
  <c r="I561" i="9"/>
  <c r="K561" i="9" s="1"/>
  <c r="J560" i="9"/>
  <c r="I560" i="9"/>
  <c r="P557" i="9"/>
  <c r="L557" i="9"/>
  <c r="O557" i="9" s="1"/>
  <c r="P556" i="9"/>
  <c r="O556" i="9"/>
  <c r="P555" i="9"/>
  <c r="N555" i="9"/>
  <c r="N545" i="9" s="1"/>
  <c r="N544" i="9" s="1"/>
  <c r="M555" i="9"/>
  <c r="L555" i="9"/>
  <c r="O555" i="9" s="1"/>
  <c r="N549" i="9"/>
  <c r="L549" i="9"/>
  <c r="P548" i="9"/>
  <c r="O548" i="9"/>
  <c r="N547" i="9"/>
  <c r="N546" i="9"/>
  <c r="P545" i="9"/>
  <c r="M545" i="9"/>
  <c r="L545" i="9"/>
  <c r="O545" i="9" s="1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K537" i="9" s="1"/>
  <c r="P535" i="9"/>
  <c r="L535" i="9"/>
  <c r="O535" i="9" s="1"/>
  <c r="P534" i="9"/>
  <c r="O534" i="9"/>
  <c r="N533" i="9"/>
  <c r="M533" i="9"/>
  <c r="P533" i="9" s="1"/>
  <c r="P528" i="9"/>
  <c r="N528" i="9"/>
  <c r="N525" i="9" s="1"/>
  <c r="L528" i="9"/>
  <c r="O528" i="9" s="1"/>
  <c r="P527" i="9"/>
  <c r="O527" i="9"/>
  <c r="P526" i="9"/>
  <c r="N526" i="9"/>
  <c r="M526" i="9"/>
  <c r="M525" i="9"/>
  <c r="P525" i="9" s="1"/>
  <c r="P524" i="9"/>
  <c r="N524" i="9"/>
  <c r="M524" i="9"/>
  <c r="L524" i="9"/>
  <c r="M523" i="9"/>
  <c r="P523" i="9" s="1"/>
  <c r="K517" i="9"/>
  <c r="J517" i="9"/>
  <c r="J501" i="9" s="1"/>
  <c r="K516" i="9"/>
  <c r="P514" i="9"/>
  <c r="O514" i="9"/>
  <c r="P513" i="9"/>
  <c r="O513" i="9"/>
  <c r="P512" i="9"/>
  <c r="N512" i="9"/>
  <c r="M512" i="9"/>
  <c r="L512" i="9"/>
  <c r="O512" i="9" s="1"/>
  <c r="P507" i="9"/>
  <c r="O507" i="9"/>
  <c r="N507" i="9"/>
  <c r="N504" i="9" s="1"/>
  <c r="P506" i="9"/>
  <c r="O506" i="9"/>
  <c r="P505" i="9"/>
  <c r="N505" i="9"/>
  <c r="M505" i="9"/>
  <c r="L505" i="9"/>
  <c r="O505" i="9" s="1"/>
  <c r="O504" i="9"/>
  <c r="M504" i="9"/>
  <c r="L504" i="9"/>
  <c r="P503" i="9"/>
  <c r="N503" i="9"/>
  <c r="N502" i="9" s="1"/>
  <c r="M503" i="9"/>
  <c r="L503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N477" i="9"/>
  <c r="M477" i="9"/>
  <c r="P477" i="9" s="1"/>
  <c r="N472" i="9"/>
  <c r="N470" i="9" s="1"/>
  <c r="L472" i="9"/>
  <c r="M472" i="9" s="1"/>
  <c r="P471" i="9"/>
  <c r="O471" i="9"/>
  <c r="N469" i="9"/>
  <c r="O468" i="9"/>
  <c r="N468" i="9"/>
  <c r="M468" i="9"/>
  <c r="L468" i="9"/>
  <c r="N467" i="9"/>
  <c r="J466" i="9"/>
  <c r="I466" i="9"/>
  <c r="K466" i="9" s="1"/>
  <c r="J465" i="9"/>
  <c r="I465" i="9"/>
  <c r="K465" i="9" s="1"/>
  <c r="I464" i="9"/>
  <c r="I463" i="9"/>
  <c r="I462" i="9"/>
  <c r="I460" i="9"/>
  <c r="K460" i="9" s="1"/>
  <c r="K458" i="9"/>
  <c r="P456" i="9"/>
  <c r="L456" i="9"/>
  <c r="P455" i="9"/>
  <c r="O455" i="9"/>
  <c r="N454" i="9"/>
  <c r="M454" i="9"/>
  <c r="P454" i="9" s="1"/>
  <c r="N449" i="9"/>
  <c r="N447" i="9" s="1"/>
  <c r="L449" i="9"/>
  <c r="L446" i="9" s="1"/>
  <c r="O446" i="9" s="1"/>
  <c r="P448" i="9"/>
  <c r="O448" i="9"/>
  <c r="N446" i="9"/>
  <c r="O445" i="9"/>
  <c r="N445" i="9"/>
  <c r="M445" i="9"/>
  <c r="L445" i="9"/>
  <c r="N444" i="9"/>
  <c r="J443" i="9"/>
  <c r="J442" i="9"/>
  <c r="I441" i="9"/>
  <c r="K441" i="9" s="1"/>
  <c r="I440" i="9"/>
  <c r="K440" i="9" s="1"/>
  <c r="I439" i="9"/>
  <c r="K439" i="9" s="1"/>
  <c r="I438" i="9"/>
  <c r="I437" i="9"/>
  <c r="K437" i="9" s="1"/>
  <c r="I435" i="9"/>
  <c r="J434" i="9"/>
  <c r="J418" i="9" s="1"/>
  <c r="P431" i="9"/>
  <c r="L431" i="9"/>
  <c r="O431" i="9" s="1"/>
  <c r="P430" i="9"/>
  <c r="O430" i="9"/>
  <c r="P429" i="9"/>
  <c r="N429" i="9"/>
  <c r="M429" i="9"/>
  <c r="N424" i="9"/>
  <c r="L424" i="9"/>
  <c r="P423" i="9"/>
  <c r="O423" i="9"/>
  <c r="N422" i="9"/>
  <c r="N421" i="9"/>
  <c r="P420" i="9"/>
  <c r="N420" i="9"/>
  <c r="N419" i="9" s="1"/>
  <c r="M420" i="9"/>
  <c r="L420" i="9"/>
  <c r="K413" i="9"/>
  <c r="K412" i="9"/>
  <c r="N410" i="9"/>
  <c r="M410" i="9"/>
  <c r="L410" i="9"/>
  <c r="P409" i="9"/>
  <c r="O409" i="9"/>
  <c r="N407" i="9"/>
  <c r="N405" i="9" s="1"/>
  <c r="M407" i="9"/>
  <c r="L407" i="9"/>
  <c r="P406" i="9"/>
  <c r="O406" i="9"/>
  <c r="P403" i="9"/>
  <c r="N403" i="9"/>
  <c r="M403" i="9"/>
  <c r="L403" i="9"/>
  <c r="K401" i="9"/>
  <c r="J401" i="9"/>
  <c r="I401" i="9"/>
  <c r="K400" i="9"/>
  <c r="K399" i="9"/>
  <c r="N397" i="9"/>
  <c r="N395" i="9" s="1"/>
  <c r="M397" i="9"/>
  <c r="L397" i="9"/>
  <c r="O397" i="9" s="1"/>
  <c r="P396" i="9"/>
  <c r="O396" i="9"/>
  <c r="N394" i="9"/>
  <c r="M394" i="9"/>
  <c r="L394" i="9"/>
  <c r="O394" i="9" s="1"/>
  <c r="P393" i="9"/>
  <c r="O393" i="9"/>
  <c r="P390" i="9"/>
  <c r="N390" i="9"/>
  <c r="M390" i="9"/>
  <c r="L390" i="9"/>
  <c r="J388" i="9"/>
  <c r="I388" i="9"/>
  <c r="K388" i="9" s="1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M353" i="9"/>
  <c r="L353" i="9"/>
  <c r="L351" i="9" s="1"/>
  <c r="P352" i="9"/>
  <c r="O352" i="9"/>
  <c r="N350" i="9"/>
  <c r="M350" i="9"/>
  <c r="L350" i="9"/>
  <c r="L348" i="9" s="1"/>
  <c r="P349" i="9"/>
  <c r="O349" i="9"/>
  <c r="P346" i="9"/>
  <c r="N346" i="9"/>
  <c r="M346" i="9"/>
  <c r="L346" i="9"/>
  <c r="O346" i="9" s="1"/>
  <c r="J343" i="9"/>
  <c r="J342" i="9"/>
  <c r="J341" i="9"/>
  <c r="J340" i="9"/>
  <c r="I340" i="9"/>
  <c r="J338" i="9"/>
  <c r="I338" i="9"/>
  <c r="N336" i="9"/>
  <c r="N334" i="9" s="1"/>
  <c r="M336" i="9"/>
  <c r="L336" i="9"/>
  <c r="P335" i="9"/>
  <c r="O335" i="9"/>
  <c r="N333" i="9"/>
  <c r="N331" i="9" s="1"/>
  <c r="M333" i="9"/>
  <c r="L333" i="9"/>
  <c r="L331" i="9" s="1"/>
  <c r="P332" i="9"/>
  <c r="O332" i="9"/>
  <c r="P329" i="9"/>
  <c r="N329" i="9"/>
  <c r="M329" i="9"/>
  <c r="L329" i="9"/>
  <c r="I327" i="9"/>
  <c r="I325" i="9"/>
  <c r="K325" i="9" s="1"/>
  <c r="N323" i="9"/>
  <c r="M323" i="9"/>
  <c r="M321" i="9" s="1"/>
  <c r="P321" i="9" s="1"/>
  <c r="L323" i="9"/>
  <c r="P322" i="9"/>
  <c r="O322" i="9"/>
  <c r="N320" i="9"/>
  <c r="N318" i="9" s="1"/>
  <c r="M320" i="9"/>
  <c r="M318" i="9" s="1"/>
  <c r="P318" i="9" s="1"/>
  <c r="L320" i="9"/>
  <c r="O320" i="9" s="1"/>
  <c r="P319" i="9"/>
  <c r="O319" i="9"/>
  <c r="P316" i="9"/>
  <c r="O316" i="9"/>
  <c r="N316" i="9"/>
  <c r="M316" i="9"/>
  <c r="L316" i="9"/>
  <c r="J314" i="9"/>
  <c r="I312" i="9"/>
  <c r="K312" i="9" s="1"/>
  <c r="I311" i="9"/>
  <c r="K311" i="9" s="1"/>
  <c r="I310" i="9"/>
  <c r="K310" i="9" s="1"/>
  <c r="I309" i="9"/>
  <c r="I297" i="9" s="1"/>
  <c r="N306" i="9"/>
  <c r="N304" i="9" s="1"/>
  <c r="M306" i="9"/>
  <c r="P306" i="9" s="1"/>
  <c r="L306" i="9"/>
  <c r="O306" i="9" s="1"/>
  <c r="P305" i="9"/>
  <c r="O305" i="9"/>
  <c r="N303" i="9"/>
  <c r="M303" i="9"/>
  <c r="M301" i="9" s="1"/>
  <c r="L303" i="9"/>
  <c r="L301" i="9" s="1"/>
  <c r="P302" i="9"/>
  <c r="O302" i="9"/>
  <c r="P299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I287" i="9"/>
  <c r="K287" i="9" s="1"/>
  <c r="N285" i="9"/>
  <c r="N283" i="9" s="1"/>
  <c r="M285" i="9"/>
  <c r="P285" i="9" s="1"/>
  <c r="L285" i="9"/>
  <c r="O285" i="9" s="1"/>
  <c r="P284" i="9"/>
  <c r="O284" i="9"/>
  <c r="N282" i="9"/>
  <c r="N280" i="9" s="1"/>
  <c r="M282" i="9"/>
  <c r="P282" i="9" s="1"/>
  <c r="L282" i="9"/>
  <c r="O282" i="9" s="1"/>
  <c r="P281" i="9"/>
  <c r="O281" i="9"/>
  <c r="O278" i="9"/>
  <c r="N278" i="9"/>
  <c r="M278" i="9"/>
  <c r="L278" i="9"/>
  <c r="J276" i="9"/>
  <c r="I271" i="9"/>
  <c r="I260" i="9" s="1"/>
  <c r="K260" i="9" s="1"/>
  <c r="N269" i="9"/>
  <c r="N267" i="9" s="1"/>
  <c r="M269" i="9"/>
  <c r="L269" i="9"/>
  <c r="O269" i="9" s="1"/>
  <c r="P268" i="9"/>
  <c r="O268" i="9"/>
  <c r="N266" i="9"/>
  <c r="M266" i="9"/>
  <c r="M264" i="9" s="1"/>
  <c r="L266" i="9"/>
  <c r="L264" i="9" s="1"/>
  <c r="P265" i="9"/>
  <c r="O265" i="9"/>
  <c r="P262" i="9"/>
  <c r="N262" i="9"/>
  <c r="M262" i="9"/>
  <c r="L262" i="9"/>
  <c r="O262" i="9" s="1"/>
  <c r="J260" i="9"/>
  <c r="K258" i="9"/>
  <c r="K257" i="9"/>
  <c r="I255" i="9"/>
  <c r="L253" i="9"/>
  <c r="L252" i="9"/>
  <c r="L251" i="9"/>
  <c r="L250" i="9"/>
  <c r="P249" i="9"/>
  <c r="N249" i="9"/>
  <c r="J248" i="9"/>
  <c r="K247" i="9"/>
  <c r="K246" i="9"/>
  <c r="I244" i="9"/>
  <c r="I237" i="9" s="1"/>
  <c r="L242" i="9"/>
  <c r="L241" i="9"/>
  <c r="L240" i="9"/>
  <c r="L239" i="9"/>
  <c r="P238" i="9"/>
  <c r="N238" i="9"/>
  <c r="J237" i="9"/>
  <c r="J226" i="9" s="1"/>
  <c r="J180" i="9" s="1"/>
  <c r="K236" i="9"/>
  <c r="J236" i="9"/>
  <c r="I236" i="9"/>
  <c r="J235" i="9"/>
  <c r="I235" i="9"/>
  <c r="K235" i="9" s="1"/>
  <c r="J233" i="9"/>
  <c r="N231" i="9"/>
  <c r="N230" i="9"/>
  <c r="N229" i="9"/>
  <c r="N228" i="9"/>
  <c r="N227" i="9"/>
  <c r="I225" i="9"/>
  <c r="K225" i="9" s="1"/>
  <c r="I224" i="9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K207" i="9"/>
  <c r="K206" i="9"/>
  <c r="I204" i="9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M187" i="9" s="1"/>
  <c r="P187" i="9" s="1"/>
  <c r="L189" i="9"/>
  <c r="O189" i="9" s="1"/>
  <c r="P188" i="9"/>
  <c r="O188" i="9"/>
  <c r="N186" i="9"/>
  <c r="M186" i="9"/>
  <c r="L186" i="9"/>
  <c r="L184" i="9" s="1"/>
  <c r="P185" i="9"/>
  <c r="O185" i="9"/>
  <c r="O182" i="9"/>
  <c r="N182" i="9"/>
  <c r="M182" i="9"/>
  <c r="P182" i="9" s="1"/>
  <c r="L182" i="9"/>
  <c r="J177" i="9"/>
  <c r="J164" i="9" s="1"/>
  <c r="I176" i="9"/>
  <c r="K176" i="9" s="1"/>
  <c r="J174" i="9"/>
  <c r="N173" i="9"/>
  <c r="N171" i="9" s="1"/>
  <c r="M173" i="9"/>
  <c r="M171" i="9" s="1"/>
  <c r="P171" i="9" s="1"/>
  <c r="L173" i="9"/>
  <c r="O173" i="9" s="1"/>
  <c r="P172" i="9"/>
  <c r="O172" i="9"/>
  <c r="N170" i="9"/>
  <c r="N168" i="9" s="1"/>
  <c r="M170" i="9"/>
  <c r="L170" i="9"/>
  <c r="P169" i="9"/>
  <c r="O169" i="9"/>
  <c r="O166" i="9"/>
  <c r="N166" i="9"/>
  <c r="M166" i="9"/>
  <c r="P166" i="9" s="1"/>
  <c r="L166" i="9"/>
  <c r="I159" i="9"/>
  <c r="I148" i="9" s="1"/>
  <c r="K148" i="9" s="1"/>
  <c r="N157" i="9"/>
  <c r="N155" i="9" s="1"/>
  <c r="M157" i="9"/>
  <c r="M155" i="9" s="1"/>
  <c r="P155" i="9" s="1"/>
  <c r="L157" i="9"/>
  <c r="O157" i="9" s="1"/>
  <c r="P156" i="9"/>
  <c r="O156" i="9"/>
  <c r="N154" i="9"/>
  <c r="M154" i="9"/>
  <c r="P154" i="9" s="1"/>
  <c r="L154" i="9"/>
  <c r="O154" i="9" s="1"/>
  <c r="P153" i="9"/>
  <c r="O153" i="9"/>
  <c r="P150" i="9"/>
  <c r="O150" i="9"/>
  <c r="N150" i="9"/>
  <c r="M150" i="9"/>
  <c r="L150" i="9"/>
  <c r="J148" i="9"/>
  <c r="I146" i="9"/>
  <c r="K146" i="9" s="1"/>
  <c r="I145" i="9"/>
  <c r="I144" i="9"/>
  <c r="N140" i="9"/>
  <c r="N138" i="9" s="1"/>
  <c r="M140" i="9"/>
  <c r="L140" i="9"/>
  <c r="P139" i="9"/>
  <c r="O139" i="9"/>
  <c r="N137" i="9"/>
  <c r="M137" i="9"/>
  <c r="M135" i="9" s="1"/>
  <c r="L137" i="9"/>
  <c r="L135" i="9" s="1"/>
  <c r="P136" i="9"/>
  <c r="O136" i="9"/>
  <c r="O133" i="9"/>
  <c r="N133" i="9"/>
  <c r="M133" i="9"/>
  <c r="P133" i="9" s="1"/>
  <c r="L133" i="9"/>
  <c r="J130" i="9"/>
  <c r="N127" i="9"/>
  <c r="M127" i="9"/>
  <c r="P127" i="9" s="1"/>
  <c r="L127" i="9"/>
  <c r="O127" i="9" s="1"/>
  <c r="P126" i="9"/>
  <c r="O126" i="9"/>
  <c r="N124" i="9"/>
  <c r="N122" i="9" s="1"/>
  <c r="M124" i="9"/>
  <c r="L124" i="9"/>
  <c r="L122" i="9" s="1"/>
  <c r="O122" i="9" s="1"/>
  <c r="P123" i="9"/>
  <c r="O123" i="9"/>
  <c r="P120" i="9"/>
  <c r="O120" i="9"/>
  <c r="N120" i="9"/>
  <c r="M120" i="9"/>
  <c r="L120" i="9"/>
  <c r="I116" i="9"/>
  <c r="K116" i="9" s="1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J87" i="9" s="1"/>
  <c r="I99" i="9"/>
  <c r="I87" i="9" s="1"/>
  <c r="K87" i="9" s="1"/>
  <c r="J98" i="9"/>
  <c r="I98" i="9"/>
  <c r="K98" i="9" s="1"/>
  <c r="N96" i="9"/>
  <c r="N94" i="9" s="1"/>
  <c r="M96" i="9"/>
  <c r="M94" i="9" s="1"/>
  <c r="P94" i="9" s="1"/>
  <c r="L96" i="9"/>
  <c r="O96" i="9" s="1"/>
  <c r="P95" i="9"/>
  <c r="O95" i="9"/>
  <c r="N93" i="9"/>
  <c r="N91" i="9" s="1"/>
  <c r="M93" i="9"/>
  <c r="L93" i="9"/>
  <c r="L91" i="9" s="1"/>
  <c r="P92" i="9"/>
  <c r="O92" i="9"/>
  <c r="O89" i="9"/>
  <c r="N89" i="9"/>
  <c r="M89" i="9"/>
  <c r="P89" i="9" s="1"/>
  <c r="L89" i="9"/>
  <c r="J86" i="9"/>
  <c r="I84" i="9"/>
  <c r="K84" i="9" s="1"/>
  <c r="I83" i="9"/>
  <c r="K83" i="9" s="1"/>
  <c r="I82" i="9"/>
  <c r="K82" i="9" s="1"/>
  <c r="I81" i="9"/>
  <c r="K81" i="9" s="1"/>
  <c r="I80" i="9"/>
  <c r="I79" i="9"/>
  <c r="I78" i="9"/>
  <c r="K78" i="9" s="1"/>
  <c r="J77" i="9"/>
  <c r="J76" i="9"/>
  <c r="J64" i="9" s="1"/>
  <c r="N74" i="9"/>
  <c r="M74" i="9"/>
  <c r="P74" i="9" s="1"/>
  <c r="L74" i="9"/>
  <c r="P73" i="9"/>
  <c r="O73" i="9"/>
  <c r="N71" i="9"/>
  <c r="N69" i="9" s="1"/>
  <c r="M71" i="9"/>
  <c r="L71" i="9"/>
  <c r="L69" i="9" s="1"/>
  <c r="P70" i="9"/>
  <c r="O70" i="9"/>
  <c r="N67" i="9"/>
  <c r="M67" i="9"/>
  <c r="L67" i="9"/>
  <c r="O67" i="9" s="1"/>
  <c r="J65" i="9"/>
  <c r="N61" i="9"/>
  <c r="N59" i="9" s="1"/>
  <c r="M61" i="9"/>
  <c r="P61" i="9" s="1"/>
  <c r="L61" i="9"/>
  <c r="O61" i="9" s="1"/>
  <c r="P60" i="9"/>
  <c r="O60" i="9"/>
  <c r="N58" i="9"/>
  <c r="N56" i="9" s="1"/>
  <c r="M58" i="9"/>
  <c r="M56" i="9" s="1"/>
  <c r="L58" i="9"/>
  <c r="P57" i="9"/>
  <c r="O57" i="9"/>
  <c r="P54" i="9"/>
  <c r="N54" i="9"/>
  <c r="M54" i="9"/>
  <c r="L54" i="9"/>
  <c r="N49" i="9"/>
  <c r="N47" i="9" s="1"/>
  <c r="M49" i="9"/>
  <c r="P49" i="9" s="1"/>
  <c r="L49" i="9"/>
  <c r="P48" i="9"/>
  <c r="O48" i="9"/>
  <c r="N46" i="9"/>
  <c r="N44" i="9" s="1"/>
  <c r="M46" i="9"/>
  <c r="L46" i="9"/>
  <c r="L44" i="9" s="1"/>
  <c r="P45" i="9"/>
  <c r="O45" i="9"/>
  <c r="O42" i="9"/>
  <c r="N42" i="9"/>
  <c r="M42" i="9"/>
  <c r="P42" i="9" s="1"/>
  <c r="L42" i="9"/>
  <c r="P36" i="9"/>
  <c r="N36" i="9"/>
  <c r="N34" i="9" s="1"/>
  <c r="M36" i="9"/>
  <c r="P35" i="9"/>
  <c r="O35" i="9"/>
  <c r="N35" i="9"/>
  <c r="M35" i="9"/>
  <c r="M34" i="9" s="1"/>
  <c r="L35" i="9"/>
  <c r="P34" i="9"/>
  <c r="N33" i="9"/>
  <c r="N32" i="9"/>
  <c r="M32" i="9"/>
  <c r="P32" i="9" s="1"/>
  <c r="L32" i="9"/>
  <c r="N30" i="9"/>
  <c r="N25" i="9"/>
  <c r="M25" i="9"/>
  <c r="L25" i="9"/>
  <c r="O22" i="9"/>
  <c r="N22" i="9"/>
  <c r="M22" i="9"/>
  <c r="P22" i="9" s="1"/>
  <c r="L22" i="9"/>
  <c r="N12" i="9"/>
  <c r="M12" i="9"/>
  <c r="L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N807" i="8" s="1"/>
  <c r="P809" i="8"/>
  <c r="O809" i="8"/>
  <c r="P808" i="8"/>
  <c r="O808" i="8"/>
  <c r="N808" i="8"/>
  <c r="M808" i="8"/>
  <c r="L808" i="8"/>
  <c r="O807" i="8"/>
  <c r="M807" i="8"/>
  <c r="L807" i="8"/>
  <c r="N806" i="8"/>
  <c r="M806" i="8"/>
  <c r="P806" i="8" s="1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P796" i="8"/>
  <c r="O796" i="8"/>
  <c r="N796" i="8"/>
  <c r="M796" i="8"/>
  <c r="L796" i="8"/>
  <c r="P791" i="8"/>
  <c r="N791" i="8"/>
  <c r="N788" i="8" s="1"/>
  <c r="L791" i="8"/>
  <c r="L789" i="8" s="1"/>
  <c r="O789" i="8" s="1"/>
  <c r="P790" i="8"/>
  <c r="O790" i="8"/>
  <c r="P789" i="8"/>
  <c r="M789" i="8"/>
  <c r="M788" i="8"/>
  <c r="L788" i="8"/>
  <c r="O788" i="8" s="1"/>
  <c r="N787" i="8"/>
  <c r="N786" i="8" s="1"/>
  <c r="M787" i="8"/>
  <c r="P787" i="8" s="1"/>
  <c r="L787" i="8"/>
  <c r="P782" i="8"/>
  <c r="O782" i="8"/>
  <c r="P781" i="8"/>
  <c r="O781" i="8"/>
  <c r="N780" i="8"/>
  <c r="M780" i="8"/>
  <c r="P780" i="8" s="1"/>
  <c r="L780" i="8"/>
  <c r="O780" i="8" s="1"/>
  <c r="P775" i="8"/>
  <c r="O775" i="8"/>
  <c r="N775" i="8"/>
  <c r="P774" i="8"/>
  <c r="O774" i="8"/>
  <c r="O773" i="8"/>
  <c r="N773" i="8"/>
  <c r="M773" i="8"/>
  <c r="P773" i="8" s="1"/>
  <c r="L773" i="8"/>
  <c r="P772" i="8"/>
  <c r="N772" i="8"/>
  <c r="N770" i="8" s="1"/>
  <c r="M772" i="8"/>
  <c r="L772" i="8"/>
  <c r="O772" i="8" s="1"/>
  <c r="O771" i="8"/>
  <c r="N771" i="8"/>
  <c r="M771" i="8"/>
  <c r="L771" i="8"/>
  <c r="L770" i="8"/>
  <c r="O770" i="8" s="1"/>
  <c r="K769" i="8"/>
  <c r="J769" i="8"/>
  <c r="P766" i="8"/>
  <c r="O766" i="8"/>
  <c r="P765" i="8"/>
  <c r="O765" i="8"/>
  <c r="N764" i="8"/>
  <c r="M764" i="8"/>
  <c r="P764" i="8" s="1"/>
  <c r="L764" i="8"/>
  <c r="O764" i="8" s="1"/>
  <c r="P759" i="8"/>
  <c r="O759" i="8"/>
  <c r="N759" i="8"/>
  <c r="P758" i="8"/>
  <c r="O758" i="8"/>
  <c r="O757" i="8"/>
  <c r="N757" i="8"/>
  <c r="M757" i="8"/>
  <c r="P757" i="8" s="1"/>
  <c r="L757" i="8"/>
  <c r="P756" i="8"/>
  <c r="N756" i="8"/>
  <c r="N754" i="8" s="1"/>
  <c r="M756" i="8"/>
  <c r="L756" i="8"/>
  <c r="O756" i="8" s="1"/>
  <c r="O755" i="8"/>
  <c r="N755" i="8"/>
  <c r="M755" i="8"/>
  <c r="L755" i="8"/>
  <c r="L754" i="8"/>
  <c r="O754" i="8" s="1"/>
  <c r="K753" i="8"/>
  <c r="J753" i="8"/>
  <c r="P749" i="8"/>
  <c r="O749" i="8"/>
  <c r="P748" i="8"/>
  <c r="O748" i="8"/>
  <c r="N747" i="8"/>
  <c r="M747" i="8"/>
  <c r="P747" i="8" s="1"/>
  <c r="L747" i="8"/>
  <c r="O747" i="8" s="1"/>
  <c r="P742" i="8"/>
  <c r="O742" i="8"/>
  <c r="N742" i="8"/>
  <c r="P741" i="8"/>
  <c r="O741" i="8"/>
  <c r="O740" i="8"/>
  <c r="N740" i="8"/>
  <c r="M740" i="8"/>
  <c r="P740" i="8" s="1"/>
  <c r="L740" i="8"/>
  <c r="P739" i="8"/>
  <c r="N739" i="8"/>
  <c r="N737" i="8" s="1"/>
  <c r="M739" i="8"/>
  <c r="L739" i="8"/>
  <c r="O739" i="8" s="1"/>
  <c r="O738" i="8"/>
  <c r="N738" i="8"/>
  <c r="M738" i="8"/>
  <c r="L738" i="8"/>
  <c r="L737" i="8"/>
  <c r="O737" i="8" s="1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N695" i="8"/>
  <c r="M695" i="8"/>
  <c r="P695" i="8" s="1"/>
  <c r="L695" i="8"/>
  <c r="O695" i="8" s="1"/>
  <c r="N690" i="8"/>
  <c r="L690" i="8"/>
  <c r="O690" i="8" s="1"/>
  <c r="N688" i="8"/>
  <c r="N687" i="8"/>
  <c r="N685" i="8" s="1"/>
  <c r="O686" i="8"/>
  <c r="N686" i="8"/>
  <c r="M686" i="8"/>
  <c r="L686" i="8"/>
  <c r="J679" i="8"/>
  <c r="J678" i="8" s="1"/>
  <c r="I678" i="8"/>
  <c r="K678" i="8" s="1"/>
  <c r="J675" i="8"/>
  <c r="J669" i="8" s="1"/>
  <c r="J654" i="8" s="1"/>
  <c r="I671" i="8"/>
  <c r="K671" i="8" s="1"/>
  <c r="I670" i="8"/>
  <c r="K670" i="8" s="1"/>
  <c r="I669" i="8"/>
  <c r="K674" i="8" s="1"/>
  <c r="P667" i="8"/>
  <c r="O667" i="8"/>
  <c r="P666" i="8"/>
  <c r="O666" i="8"/>
  <c r="O665" i="8"/>
  <c r="N665" i="8"/>
  <c r="M665" i="8"/>
  <c r="P665" i="8" s="1"/>
  <c r="L665" i="8"/>
  <c r="P660" i="8"/>
  <c r="N660" i="8"/>
  <c r="N657" i="8" s="1"/>
  <c r="N655" i="8" s="1"/>
  <c r="L660" i="8"/>
  <c r="L658" i="8" s="1"/>
  <c r="O658" i="8" s="1"/>
  <c r="P659" i="8"/>
  <c r="O659" i="8"/>
  <c r="N658" i="8"/>
  <c r="M658" i="8"/>
  <c r="P658" i="8" s="1"/>
  <c r="M657" i="8"/>
  <c r="P657" i="8" s="1"/>
  <c r="P656" i="8"/>
  <c r="N656" i="8"/>
  <c r="M656" i="8"/>
  <c r="L656" i="8"/>
  <c r="O656" i="8" s="1"/>
  <c r="K652" i="8"/>
  <c r="J652" i="8"/>
  <c r="J651" i="8"/>
  <c r="J628" i="8" s="1"/>
  <c r="I651" i="8"/>
  <c r="K651" i="8" s="1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L639" i="8" s="1"/>
  <c r="O639" i="8" s="1"/>
  <c r="P640" i="8"/>
  <c r="O640" i="8"/>
  <c r="P639" i="8"/>
  <c r="N639" i="8"/>
  <c r="M639" i="8"/>
  <c r="P634" i="8"/>
  <c r="N634" i="8"/>
  <c r="N631" i="8" s="1"/>
  <c r="L634" i="8"/>
  <c r="L632" i="8" s="1"/>
  <c r="O632" i="8" s="1"/>
  <c r="P633" i="8"/>
  <c r="O633" i="8"/>
  <c r="P632" i="8"/>
  <c r="N632" i="8"/>
  <c r="M632" i="8"/>
  <c r="M631" i="8"/>
  <c r="N630" i="8"/>
  <c r="N629" i="8" s="1"/>
  <c r="M630" i="8"/>
  <c r="P630" i="8" s="1"/>
  <c r="L630" i="8"/>
  <c r="J621" i="8"/>
  <c r="I621" i="8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5" i="8"/>
  <c r="J593" i="8" s="1"/>
  <c r="J592" i="8" s="1"/>
  <c r="J594" i="8"/>
  <c r="I594" i="8"/>
  <c r="K594" i="8" s="1"/>
  <c r="I593" i="8"/>
  <c r="J583" i="8"/>
  <c r="J577" i="8" s="1"/>
  <c r="J582" i="8"/>
  <c r="I577" i="8"/>
  <c r="J576" i="8"/>
  <c r="J559" i="8" s="1"/>
  <c r="J543" i="8" s="1"/>
  <c r="I576" i="8"/>
  <c r="I559" i="8" s="1"/>
  <c r="K559" i="8" s="1"/>
  <c r="J569" i="8"/>
  <c r="I569" i="8"/>
  <c r="K569" i="8" s="1"/>
  <c r="J568" i="8"/>
  <c r="I568" i="8"/>
  <c r="J561" i="8"/>
  <c r="I561" i="8"/>
  <c r="K561" i="8" s="1"/>
  <c r="J560" i="8"/>
  <c r="I560" i="8"/>
  <c r="P557" i="8"/>
  <c r="L557" i="8"/>
  <c r="O557" i="8" s="1"/>
  <c r="P556" i="8"/>
  <c r="O556" i="8"/>
  <c r="P555" i="8"/>
  <c r="N555" i="8"/>
  <c r="N545" i="8" s="1"/>
  <c r="N544" i="8" s="1"/>
  <c r="M555" i="8"/>
  <c r="L555" i="8"/>
  <c r="O555" i="8" s="1"/>
  <c r="N549" i="8"/>
  <c r="L549" i="8"/>
  <c r="L547" i="8" s="1"/>
  <c r="O547" i="8" s="1"/>
  <c r="P548" i="8"/>
  <c r="O548" i="8"/>
  <c r="N547" i="8"/>
  <c r="N546" i="8"/>
  <c r="P545" i="8"/>
  <c r="M545" i="8"/>
  <c r="L545" i="8"/>
  <c r="O545" i="8" s="1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K537" i="8" s="1"/>
  <c r="P535" i="8"/>
  <c r="L535" i="8"/>
  <c r="O535" i="8" s="1"/>
  <c r="P534" i="8"/>
  <c r="O534" i="8"/>
  <c r="N533" i="8"/>
  <c r="M533" i="8"/>
  <c r="P533" i="8" s="1"/>
  <c r="P528" i="8"/>
  <c r="N528" i="8"/>
  <c r="L528" i="8"/>
  <c r="O528" i="8" s="1"/>
  <c r="P527" i="8"/>
  <c r="O527" i="8"/>
  <c r="P526" i="8"/>
  <c r="N526" i="8"/>
  <c r="M526" i="8"/>
  <c r="N525" i="8"/>
  <c r="M525" i="8"/>
  <c r="P525" i="8" s="1"/>
  <c r="P524" i="8"/>
  <c r="N524" i="8"/>
  <c r="N523" i="8" s="1"/>
  <c r="M524" i="8"/>
  <c r="L524" i="8"/>
  <c r="O524" i="8" s="1"/>
  <c r="M523" i="8"/>
  <c r="P523" i="8" s="1"/>
  <c r="K517" i="8"/>
  <c r="J517" i="8"/>
  <c r="J501" i="8" s="1"/>
  <c r="K516" i="8"/>
  <c r="P514" i="8"/>
  <c r="O514" i="8"/>
  <c r="P513" i="8"/>
  <c r="O513" i="8"/>
  <c r="P512" i="8"/>
  <c r="N512" i="8"/>
  <c r="M512" i="8"/>
  <c r="L512" i="8"/>
  <c r="O512" i="8" s="1"/>
  <c r="P507" i="8"/>
  <c r="O507" i="8"/>
  <c r="N507" i="8"/>
  <c r="N504" i="8" s="1"/>
  <c r="P506" i="8"/>
  <c r="O506" i="8"/>
  <c r="P505" i="8"/>
  <c r="N505" i="8"/>
  <c r="M505" i="8"/>
  <c r="L505" i="8"/>
  <c r="O505" i="8" s="1"/>
  <c r="O504" i="8"/>
  <c r="M504" i="8"/>
  <c r="L504" i="8"/>
  <c r="N503" i="8"/>
  <c r="N502" i="8" s="1"/>
  <c r="M503" i="8"/>
  <c r="P503" i="8" s="1"/>
  <c r="L503" i="8"/>
  <c r="K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N477" i="8"/>
  <c r="M477" i="8"/>
  <c r="P477" i="8" s="1"/>
  <c r="N472" i="8"/>
  <c r="L472" i="8"/>
  <c r="L470" i="8" s="1"/>
  <c r="P471" i="8"/>
  <c r="O471" i="8"/>
  <c r="N469" i="8"/>
  <c r="O468" i="8"/>
  <c r="N468" i="8"/>
  <c r="M468" i="8"/>
  <c r="L468" i="8"/>
  <c r="J466" i="8"/>
  <c r="I466" i="8"/>
  <c r="K466" i="8" s="1"/>
  <c r="J465" i="8"/>
  <c r="I465" i="8"/>
  <c r="K465" i="8" s="1"/>
  <c r="I464" i="8"/>
  <c r="I463" i="8"/>
  <c r="I462" i="8"/>
  <c r="K462" i="8" s="1"/>
  <c r="I460" i="8"/>
  <c r="K458" i="8"/>
  <c r="P456" i="8"/>
  <c r="L456" i="8"/>
  <c r="O456" i="8" s="1"/>
  <c r="P455" i="8"/>
  <c r="O455" i="8"/>
  <c r="N454" i="8"/>
  <c r="M454" i="8"/>
  <c r="P454" i="8" s="1"/>
  <c r="N449" i="8"/>
  <c r="N447" i="8" s="1"/>
  <c r="L449" i="8"/>
  <c r="P448" i="8"/>
  <c r="O448" i="8"/>
  <c r="N446" i="8"/>
  <c r="O445" i="8"/>
  <c r="N445" i="8"/>
  <c r="M445" i="8"/>
  <c r="P445" i="8" s="1"/>
  <c r="L445" i="8"/>
  <c r="N444" i="8"/>
  <c r="J443" i="8"/>
  <c r="J442" i="8"/>
  <c r="I441" i="8"/>
  <c r="K441" i="8" s="1"/>
  <c r="I440" i="8"/>
  <c r="K440" i="8" s="1"/>
  <c r="I439" i="8"/>
  <c r="K439" i="8" s="1"/>
  <c r="I438" i="8"/>
  <c r="I437" i="8"/>
  <c r="I435" i="8"/>
  <c r="I433" i="8" s="1"/>
  <c r="I417" i="8" s="1"/>
  <c r="J434" i="8"/>
  <c r="J418" i="8" s="1"/>
  <c r="P431" i="8"/>
  <c r="L431" i="8"/>
  <c r="L429" i="8" s="1"/>
  <c r="O429" i="8" s="1"/>
  <c r="P430" i="8"/>
  <c r="O430" i="8"/>
  <c r="P429" i="8"/>
  <c r="N429" i="8"/>
  <c r="M429" i="8"/>
  <c r="N424" i="8"/>
  <c r="L424" i="8"/>
  <c r="O424" i="8" s="1"/>
  <c r="P423" i="8"/>
  <c r="O423" i="8"/>
  <c r="N422" i="8"/>
  <c r="N421" i="8"/>
  <c r="P420" i="8"/>
  <c r="N420" i="8"/>
  <c r="M420" i="8"/>
  <c r="L420" i="8"/>
  <c r="N419" i="8"/>
  <c r="K413" i="8"/>
  <c r="K412" i="8"/>
  <c r="N410" i="8"/>
  <c r="M410" i="8"/>
  <c r="M408" i="8" s="1"/>
  <c r="P408" i="8" s="1"/>
  <c r="L410" i="8"/>
  <c r="O410" i="8" s="1"/>
  <c r="P409" i="8"/>
  <c r="O409" i="8"/>
  <c r="N407" i="8"/>
  <c r="N405" i="8" s="1"/>
  <c r="M407" i="8"/>
  <c r="M405" i="8" s="1"/>
  <c r="P405" i="8" s="1"/>
  <c r="L407" i="8"/>
  <c r="P406" i="8"/>
  <c r="O406" i="8"/>
  <c r="P403" i="8"/>
  <c r="N403" i="8"/>
  <c r="M403" i="8"/>
  <c r="L403" i="8"/>
  <c r="O403" i="8" s="1"/>
  <c r="J401" i="8"/>
  <c r="I401" i="8"/>
  <c r="K401" i="8" s="1"/>
  <c r="K400" i="8"/>
  <c r="K399" i="8"/>
  <c r="N397" i="8"/>
  <c r="N395" i="8" s="1"/>
  <c r="M397" i="8"/>
  <c r="L397" i="8"/>
  <c r="O397" i="8" s="1"/>
  <c r="P396" i="8"/>
  <c r="O396" i="8"/>
  <c r="N394" i="8"/>
  <c r="N392" i="8" s="1"/>
  <c r="M394" i="8"/>
  <c r="L394" i="8"/>
  <c r="L392" i="8" s="1"/>
  <c r="O392" i="8" s="1"/>
  <c r="P393" i="8"/>
  <c r="O393" i="8"/>
  <c r="P390" i="8"/>
  <c r="N390" i="8"/>
  <c r="M390" i="8"/>
  <c r="L390" i="8"/>
  <c r="K388" i="8"/>
  <c r="J388" i="8"/>
  <c r="I388" i="8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I362" i="8"/>
  <c r="K362" i="8" s="1"/>
  <c r="K361" i="8"/>
  <c r="J361" i="8"/>
  <c r="I360" i="8"/>
  <c r="K360" i="8" s="1"/>
  <c r="I359" i="8"/>
  <c r="K359" i="8" s="1"/>
  <c r="K358" i="8"/>
  <c r="J358" i="8"/>
  <c r="J355" i="8"/>
  <c r="I355" i="8"/>
  <c r="K355" i="8" s="1"/>
  <c r="N353" i="8"/>
  <c r="N351" i="8" s="1"/>
  <c r="M353" i="8"/>
  <c r="M351" i="8" s="1"/>
  <c r="L353" i="8"/>
  <c r="L351" i="8" s="1"/>
  <c r="P352" i="8"/>
  <c r="O352" i="8"/>
  <c r="N350" i="8"/>
  <c r="M350" i="8"/>
  <c r="L350" i="8"/>
  <c r="P349" i="8"/>
  <c r="O349" i="8"/>
  <c r="N346" i="8"/>
  <c r="M346" i="8"/>
  <c r="L346" i="8"/>
  <c r="J343" i="8"/>
  <c r="J342" i="8"/>
  <c r="J341" i="8"/>
  <c r="J340" i="8"/>
  <c r="I340" i="8"/>
  <c r="J338" i="8"/>
  <c r="I338" i="8"/>
  <c r="N336" i="8"/>
  <c r="N334" i="8" s="1"/>
  <c r="M336" i="8"/>
  <c r="M334" i="8" s="1"/>
  <c r="P334" i="8" s="1"/>
  <c r="L336" i="8"/>
  <c r="L334" i="8" s="1"/>
  <c r="O334" i="8" s="1"/>
  <c r="P335" i="8"/>
  <c r="O335" i="8"/>
  <c r="N333" i="8"/>
  <c r="M333" i="8"/>
  <c r="L333" i="8"/>
  <c r="L331" i="8" s="1"/>
  <c r="P332" i="8"/>
  <c r="O332" i="8"/>
  <c r="O329" i="8"/>
  <c r="N329" i="8"/>
  <c r="M329" i="8"/>
  <c r="L329" i="8"/>
  <c r="I327" i="8"/>
  <c r="I325" i="8"/>
  <c r="K325" i="8" s="1"/>
  <c r="N323" i="8"/>
  <c r="M323" i="8"/>
  <c r="P323" i="8" s="1"/>
  <c r="L323" i="8"/>
  <c r="L321" i="8" s="1"/>
  <c r="O321" i="8" s="1"/>
  <c r="P322" i="8"/>
  <c r="O322" i="8"/>
  <c r="N320" i="8"/>
  <c r="N318" i="8" s="1"/>
  <c r="M320" i="8"/>
  <c r="P320" i="8" s="1"/>
  <c r="L320" i="8"/>
  <c r="L318" i="8" s="1"/>
  <c r="O318" i="8" s="1"/>
  <c r="P319" i="8"/>
  <c r="O319" i="8"/>
  <c r="O316" i="8"/>
  <c r="N316" i="8"/>
  <c r="M316" i="8"/>
  <c r="P316" i="8" s="1"/>
  <c r="L316" i="8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P306" i="8" s="1"/>
  <c r="L306" i="8"/>
  <c r="O306" i="8" s="1"/>
  <c r="P305" i="8"/>
  <c r="O305" i="8"/>
  <c r="N303" i="8"/>
  <c r="N301" i="8" s="1"/>
  <c r="M303" i="8"/>
  <c r="P303" i="8" s="1"/>
  <c r="L303" i="8"/>
  <c r="P302" i="8"/>
  <c r="O302" i="8"/>
  <c r="P299" i="8"/>
  <c r="N299" i="8"/>
  <c r="M299" i="8"/>
  <c r="L299" i="8"/>
  <c r="O299" i="8" s="1"/>
  <c r="J297" i="8"/>
  <c r="I294" i="8"/>
  <c r="K294" i="8" s="1"/>
  <c r="I293" i="8"/>
  <c r="K293" i="8" s="1"/>
  <c r="I291" i="8"/>
  <c r="K291" i="8" s="1"/>
  <c r="I290" i="8"/>
  <c r="K290" i="8" s="1"/>
  <c r="I288" i="8"/>
  <c r="K288" i="8" s="1"/>
  <c r="I287" i="8"/>
  <c r="I276" i="8" s="1"/>
  <c r="K276" i="8" s="1"/>
  <c r="N285" i="8"/>
  <c r="N283" i="8" s="1"/>
  <c r="M285" i="8"/>
  <c r="L285" i="8"/>
  <c r="P284" i="8"/>
  <c r="O284" i="8"/>
  <c r="N282" i="8"/>
  <c r="N280" i="8" s="1"/>
  <c r="M282" i="8"/>
  <c r="L282" i="8"/>
  <c r="P281" i="8"/>
  <c r="O281" i="8"/>
  <c r="O278" i="8"/>
  <c r="N278" i="8"/>
  <c r="M278" i="8"/>
  <c r="P278" i="8" s="1"/>
  <c r="L278" i="8"/>
  <c r="J276" i="8"/>
  <c r="I271" i="8"/>
  <c r="K271" i="8" s="1"/>
  <c r="N269" i="8"/>
  <c r="N267" i="8" s="1"/>
  <c r="M269" i="8"/>
  <c r="P269" i="8" s="1"/>
  <c r="L269" i="8"/>
  <c r="O269" i="8" s="1"/>
  <c r="P268" i="8"/>
  <c r="O268" i="8"/>
  <c r="N266" i="8"/>
  <c r="M266" i="8"/>
  <c r="L266" i="8"/>
  <c r="L264" i="8" s="1"/>
  <c r="P265" i="8"/>
  <c r="O265" i="8"/>
  <c r="P262" i="8"/>
  <c r="N262" i="8"/>
  <c r="M262" i="8"/>
  <c r="L262" i="8"/>
  <c r="O262" i="8" s="1"/>
  <c r="J260" i="8"/>
  <c r="K258" i="8"/>
  <c r="K257" i="8"/>
  <c r="I255" i="8"/>
  <c r="K255" i="8" s="1"/>
  <c r="L253" i="8"/>
  <c r="L252" i="8"/>
  <c r="L251" i="8"/>
  <c r="L250" i="8"/>
  <c r="P249" i="8"/>
  <c r="N249" i="8"/>
  <c r="J248" i="8"/>
  <c r="J226" i="8" s="1"/>
  <c r="J180" i="8" s="1"/>
  <c r="K247" i="8"/>
  <c r="K246" i="8"/>
  <c r="I244" i="8"/>
  <c r="I237" i="8" s="1"/>
  <c r="L242" i="8"/>
  <c r="L241" i="8"/>
  <c r="L240" i="8"/>
  <c r="L239" i="8"/>
  <c r="P238" i="8"/>
  <c r="N238" i="8"/>
  <c r="J237" i="8"/>
  <c r="J236" i="8"/>
  <c r="I236" i="8"/>
  <c r="K236" i="8" s="1"/>
  <c r="J235" i="8"/>
  <c r="I235" i="8"/>
  <c r="K235" i="8" s="1"/>
  <c r="J233" i="8"/>
  <c r="N231" i="8"/>
  <c r="N230" i="8"/>
  <c r="N229" i="8"/>
  <c r="N228" i="8"/>
  <c r="N227" i="8"/>
  <c r="I225" i="8"/>
  <c r="I224" i="8"/>
  <c r="K224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K204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M189" i="8"/>
  <c r="M187" i="8" s="1"/>
  <c r="P187" i="8" s="1"/>
  <c r="L189" i="8"/>
  <c r="O189" i="8" s="1"/>
  <c r="P188" i="8"/>
  <c r="O188" i="8"/>
  <c r="N186" i="8"/>
  <c r="N184" i="8" s="1"/>
  <c r="M186" i="8"/>
  <c r="M184" i="8" s="1"/>
  <c r="L186" i="8"/>
  <c r="L184" i="8" s="1"/>
  <c r="P185" i="8"/>
  <c r="O185" i="8"/>
  <c r="P182" i="8"/>
  <c r="N182" i="8"/>
  <c r="M182" i="8"/>
  <c r="L182" i="8"/>
  <c r="J177" i="8"/>
  <c r="I176" i="8"/>
  <c r="I174" i="8" s="1"/>
  <c r="J174" i="8"/>
  <c r="N173" i="8"/>
  <c r="N171" i="8" s="1"/>
  <c r="M173" i="8"/>
  <c r="M171" i="8" s="1"/>
  <c r="P171" i="8" s="1"/>
  <c r="L173" i="8"/>
  <c r="O173" i="8" s="1"/>
  <c r="P172" i="8"/>
  <c r="O172" i="8"/>
  <c r="N170" i="8"/>
  <c r="M170" i="8"/>
  <c r="M168" i="8" s="1"/>
  <c r="L170" i="8"/>
  <c r="L168" i="8" s="1"/>
  <c r="P169" i="8"/>
  <c r="O169" i="8"/>
  <c r="P166" i="8"/>
  <c r="N166" i="8"/>
  <c r="M166" i="8"/>
  <c r="L166" i="8"/>
  <c r="J164" i="8"/>
  <c r="I159" i="8"/>
  <c r="K159" i="8" s="1"/>
  <c r="N157" i="8"/>
  <c r="M157" i="8"/>
  <c r="P157" i="8" s="1"/>
  <c r="L157" i="8"/>
  <c r="O157" i="8" s="1"/>
  <c r="P156" i="8"/>
  <c r="O156" i="8"/>
  <c r="N154" i="8"/>
  <c r="N152" i="8" s="1"/>
  <c r="M154" i="8"/>
  <c r="P154" i="8" s="1"/>
  <c r="L154" i="8"/>
  <c r="L152" i="8" s="1"/>
  <c r="O152" i="8" s="1"/>
  <c r="P153" i="8"/>
  <c r="O153" i="8"/>
  <c r="P150" i="8"/>
  <c r="N150" i="8"/>
  <c r="M150" i="8"/>
  <c r="L150" i="8"/>
  <c r="O150" i="8" s="1"/>
  <c r="J148" i="8"/>
  <c r="I146" i="8"/>
  <c r="K146" i="8" s="1"/>
  <c r="I145" i="8"/>
  <c r="K145" i="8" s="1"/>
  <c r="I144" i="8"/>
  <c r="N140" i="8"/>
  <c r="N138" i="8" s="1"/>
  <c r="M140" i="8"/>
  <c r="L140" i="8"/>
  <c r="L138" i="8" s="1"/>
  <c r="O138" i="8" s="1"/>
  <c r="P139" i="8"/>
  <c r="O139" i="8"/>
  <c r="N137" i="8"/>
  <c r="N135" i="8" s="1"/>
  <c r="M137" i="8"/>
  <c r="P137" i="8" s="1"/>
  <c r="L137" i="8"/>
  <c r="P136" i="8"/>
  <c r="O136" i="8"/>
  <c r="O133" i="8"/>
  <c r="N133" i="8"/>
  <c r="M133" i="8"/>
  <c r="L133" i="8"/>
  <c r="J130" i="8"/>
  <c r="N127" i="8"/>
  <c r="M127" i="8"/>
  <c r="P127" i="8" s="1"/>
  <c r="L127" i="8"/>
  <c r="O127" i="8" s="1"/>
  <c r="P126" i="8"/>
  <c r="O126" i="8"/>
  <c r="N124" i="8"/>
  <c r="N122" i="8" s="1"/>
  <c r="M124" i="8"/>
  <c r="P124" i="8" s="1"/>
  <c r="L124" i="8"/>
  <c r="O124" i="8" s="1"/>
  <c r="P123" i="8"/>
  <c r="O123" i="8"/>
  <c r="P120" i="8"/>
  <c r="N120" i="8"/>
  <c r="M120" i="8"/>
  <c r="L120" i="8"/>
  <c r="O120" i="8" s="1"/>
  <c r="I116" i="8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K99" i="8" s="1"/>
  <c r="J98" i="8"/>
  <c r="I98" i="8"/>
  <c r="I86" i="8" s="1"/>
  <c r="K86" i="8" s="1"/>
  <c r="N96" i="8"/>
  <c r="N94" i="8" s="1"/>
  <c r="M96" i="8"/>
  <c r="P96" i="8" s="1"/>
  <c r="L96" i="8"/>
  <c r="P95" i="8"/>
  <c r="O95" i="8"/>
  <c r="N93" i="8"/>
  <c r="M93" i="8"/>
  <c r="M91" i="8" s="1"/>
  <c r="L93" i="8"/>
  <c r="L91" i="8" s="1"/>
  <c r="P92" i="8"/>
  <c r="O92" i="8"/>
  <c r="P89" i="8"/>
  <c r="N89" i="8"/>
  <c r="M89" i="8"/>
  <c r="L89" i="8"/>
  <c r="J87" i="8"/>
  <c r="J86" i="8"/>
  <c r="I84" i="8"/>
  <c r="K84" i="8" s="1"/>
  <c r="I83" i="8"/>
  <c r="K83" i="8" s="1"/>
  <c r="I82" i="8"/>
  <c r="K82" i="8" s="1"/>
  <c r="I81" i="8"/>
  <c r="I80" i="8"/>
  <c r="K80" i="8" s="1"/>
  <c r="I79" i="8"/>
  <c r="K79" i="8" s="1"/>
  <c r="I78" i="8"/>
  <c r="K78" i="8" s="1"/>
  <c r="J77" i="8"/>
  <c r="J76" i="8"/>
  <c r="J64" i="8" s="1"/>
  <c r="N74" i="8"/>
  <c r="N72" i="8" s="1"/>
  <c r="M74" i="8"/>
  <c r="P74" i="8" s="1"/>
  <c r="L74" i="8"/>
  <c r="O74" i="8" s="1"/>
  <c r="P73" i="8"/>
  <c r="O73" i="8"/>
  <c r="N71" i="8"/>
  <c r="N69" i="8" s="1"/>
  <c r="M71" i="8"/>
  <c r="P71" i="8" s="1"/>
  <c r="L71" i="8"/>
  <c r="O71" i="8" s="1"/>
  <c r="P70" i="8"/>
  <c r="O70" i="8"/>
  <c r="P67" i="8"/>
  <c r="O67" i="8"/>
  <c r="N67" i="8"/>
  <c r="M67" i="8"/>
  <c r="L67" i="8"/>
  <c r="J65" i="8"/>
  <c r="N61" i="8"/>
  <c r="M61" i="8"/>
  <c r="L61" i="8"/>
  <c r="L59" i="8" s="1"/>
  <c r="P60" i="8"/>
  <c r="O60" i="8"/>
  <c r="N58" i="8"/>
  <c r="N56" i="8" s="1"/>
  <c r="M58" i="8"/>
  <c r="L58" i="8"/>
  <c r="P57" i="8"/>
  <c r="O57" i="8"/>
  <c r="P54" i="8"/>
  <c r="N54" i="8"/>
  <c r="M54" i="8"/>
  <c r="L54" i="8"/>
  <c r="O54" i="8" s="1"/>
  <c r="N49" i="8"/>
  <c r="M49" i="8"/>
  <c r="P49" i="8" s="1"/>
  <c r="L49" i="8"/>
  <c r="O49" i="8" s="1"/>
  <c r="P48" i="8"/>
  <c r="O48" i="8"/>
  <c r="N46" i="8"/>
  <c r="N44" i="8" s="1"/>
  <c r="M46" i="8"/>
  <c r="L46" i="8"/>
  <c r="P45" i="8"/>
  <c r="O45" i="8"/>
  <c r="P42" i="8"/>
  <c r="O42" i="8"/>
  <c r="N42" i="8"/>
  <c r="M42" i="8"/>
  <c r="L42" i="8"/>
  <c r="N36" i="8"/>
  <c r="N34" i="8" s="1"/>
  <c r="M36" i="8"/>
  <c r="P36" i="8" s="1"/>
  <c r="N35" i="8"/>
  <c r="M35" i="8"/>
  <c r="L35" i="8"/>
  <c r="O35" i="8" s="1"/>
  <c r="N33" i="8"/>
  <c r="P32" i="8"/>
  <c r="N32" i="8"/>
  <c r="N31" i="8" s="1"/>
  <c r="M32" i="8"/>
  <c r="L32" i="8"/>
  <c r="N30" i="8"/>
  <c r="N29" i="8"/>
  <c r="N28" i="8" s="1"/>
  <c r="M29" i="8"/>
  <c r="P29" i="8" s="1"/>
  <c r="L29" i="8"/>
  <c r="O29" i="8" s="1"/>
  <c r="P25" i="8"/>
  <c r="O25" i="8"/>
  <c r="N25" i="8"/>
  <c r="M25" i="8"/>
  <c r="L25" i="8"/>
  <c r="O22" i="8"/>
  <c r="N22" i="8"/>
  <c r="N12" i="8" s="1"/>
  <c r="M22" i="8"/>
  <c r="L22" i="8"/>
  <c r="O19" i="8"/>
  <c r="L19" i="8"/>
  <c r="O15" i="8"/>
  <c r="L15" i="8"/>
  <c r="L12" i="8"/>
  <c r="L9" i="8" s="1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N807" i="7" s="1"/>
  <c r="N805" i="7" s="1"/>
  <c r="P809" i="7"/>
  <c r="O809" i="7"/>
  <c r="P808" i="7"/>
  <c r="N808" i="7"/>
  <c r="M808" i="7"/>
  <c r="L808" i="7"/>
  <c r="O808" i="7" s="1"/>
  <c r="O807" i="7"/>
  <c r="M807" i="7"/>
  <c r="L807" i="7"/>
  <c r="P806" i="7"/>
  <c r="N806" i="7"/>
  <c r="M806" i="7"/>
  <c r="L806" i="7"/>
  <c r="K804" i="7"/>
  <c r="J804" i="7"/>
  <c r="K802" i="7"/>
  <c r="J801" i="7"/>
  <c r="J800" i="7"/>
  <c r="J785" i="7" s="1"/>
  <c r="I800" i="7"/>
  <c r="P798" i="7"/>
  <c r="O798" i="7"/>
  <c r="P797" i="7"/>
  <c r="O797" i="7"/>
  <c r="O796" i="7"/>
  <c r="N796" i="7"/>
  <c r="M796" i="7"/>
  <c r="P796" i="7" s="1"/>
  <c r="L796" i="7"/>
  <c r="P791" i="7"/>
  <c r="N791" i="7"/>
  <c r="N788" i="7" s="1"/>
  <c r="N786" i="7" s="1"/>
  <c r="L791" i="7"/>
  <c r="O791" i="7" s="1"/>
  <c r="P790" i="7"/>
  <c r="O790" i="7"/>
  <c r="P789" i="7"/>
  <c r="M789" i="7"/>
  <c r="M788" i="7"/>
  <c r="P787" i="7"/>
  <c r="N787" i="7"/>
  <c r="M787" i="7"/>
  <c r="L787" i="7"/>
  <c r="P782" i="7"/>
  <c r="O782" i="7"/>
  <c r="P781" i="7"/>
  <c r="O781" i="7"/>
  <c r="O780" i="7"/>
  <c r="N780" i="7"/>
  <c r="M780" i="7"/>
  <c r="P780" i="7" s="1"/>
  <c r="L780" i="7"/>
  <c r="P775" i="7"/>
  <c r="O775" i="7"/>
  <c r="N775" i="7"/>
  <c r="N773" i="7" s="1"/>
  <c r="P774" i="7"/>
  <c r="O774" i="7"/>
  <c r="O773" i="7"/>
  <c r="M773" i="7"/>
  <c r="P773" i="7" s="1"/>
  <c r="L773" i="7"/>
  <c r="P772" i="7"/>
  <c r="N772" i="7"/>
  <c r="N770" i="7" s="1"/>
  <c r="M772" i="7"/>
  <c r="L772" i="7"/>
  <c r="O772" i="7" s="1"/>
  <c r="O771" i="7"/>
  <c r="N771" i="7"/>
  <c r="M771" i="7"/>
  <c r="L771" i="7"/>
  <c r="L770" i="7"/>
  <c r="O770" i="7" s="1"/>
  <c r="K769" i="7"/>
  <c r="J769" i="7"/>
  <c r="P766" i="7"/>
  <c r="O766" i="7"/>
  <c r="P765" i="7"/>
  <c r="O765" i="7"/>
  <c r="O764" i="7"/>
  <c r="N764" i="7"/>
  <c r="M764" i="7"/>
  <c r="P764" i="7" s="1"/>
  <c r="L764" i="7"/>
  <c r="P759" i="7"/>
  <c r="O759" i="7"/>
  <c r="N759" i="7"/>
  <c r="N757" i="7" s="1"/>
  <c r="P758" i="7"/>
  <c r="O758" i="7"/>
  <c r="O757" i="7"/>
  <c r="M757" i="7"/>
  <c r="P757" i="7" s="1"/>
  <c r="L757" i="7"/>
  <c r="P756" i="7"/>
  <c r="N756" i="7"/>
  <c r="N754" i="7" s="1"/>
  <c r="M756" i="7"/>
  <c r="L756" i="7"/>
  <c r="O756" i="7" s="1"/>
  <c r="O755" i="7"/>
  <c r="N755" i="7"/>
  <c r="M755" i="7"/>
  <c r="L755" i="7"/>
  <c r="L754" i="7"/>
  <c r="O754" i="7" s="1"/>
  <c r="K753" i="7"/>
  <c r="J753" i="7"/>
  <c r="P749" i="7"/>
  <c r="O749" i="7"/>
  <c r="P748" i="7"/>
  <c r="O748" i="7"/>
  <c r="O747" i="7"/>
  <c r="N747" i="7"/>
  <c r="M747" i="7"/>
  <c r="P747" i="7" s="1"/>
  <c r="L747" i="7"/>
  <c r="P742" i="7"/>
  <c r="O742" i="7"/>
  <c r="N742" i="7"/>
  <c r="N740" i="7" s="1"/>
  <c r="P741" i="7"/>
  <c r="O741" i="7"/>
  <c r="O740" i="7"/>
  <c r="M740" i="7"/>
  <c r="P740" i="7" s="1"/>
  <c r="L740" i="7"/>
  <c r="P739" i="7"/>
  <c r="N739" i="7"/>
  <c r="N737" i="7" s="1"/>
  <c r="M739" i="7"/>
  <c r="L739" i="7"/>
  <c r="O739" i="7" s="1"/>
  <c r="O738" i="7"/>
  <c r="N738" i="7"/>
  <c r="M738" i="7"/>
  <c r="L738" i="7"/>
  <c r="L737" i="7"/>
  <c r="O737" i="7" s="1"/>
  <c r="K736" i="7"/>
  <c r="J736" i="7"/>
  <c r="J729" i="7"/>
  <c r="I729" i="7"/>
  <c r="K729" i="7" s="1"/>
  <c r="J728" i="7"/>
  <c r="I728" i="7"/>
  <c r="J727" i="7"/>
  <c r="J726" i="7"/>
  <c r="I726" i="7"/>
  <c r="J725" i="7"/>
  <c r="I725" i="7"/>
  <c r="J724" i="7"/>
  <c r="J723" i="7"/>
  <c r="I723" i="7"/>
  <c r="I722" i="7"/>
  <c r="I721" i="7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J699" i="7"/>
  <c r="I699" i="7"/>
  <c r="K699" i="7" s="1"/>
  <c r="P697" i="7"/>
  <c r="O697" i="7"/>
  <c r="P696" i="7"/>
  <c r="O696" i="7"/>
  <c r="O695" i="7"/>
  <c r="N695" i="7"/>
  <c r="M695" i="7"/>
  <c r="P695" i="7" s="1"/>
  <c r="L695" i="7"/>
  <c r="N690" i="7"/>
  <c r="N688" i="7" s="1"/>
  <c r="L690" i="7"/>
  <c r="O690" i="7" s="1"/>
  <c r="N687" i="7"/>
  <c r="N685" i="7" s="1"/>
  <c r="O686" i="7"/>
  <c r="N686" i="7"/>
  <c r="M686" i="7"/>
  <c r="L686" i="7"/>
  <c r="J679" i="7"/>
  <c r="J678" i="7"/>
  <c r="I678" i="7"/>
  <c r="K678" i="7" s="1"/>
  <c r="J675" i="7"/>
  <c r="J669" i="7" s="1"/>
  <c r="I671" i="7"/>
  <c r="K671" i="7" s="1"/>
  <c r="I670" i="7"/>
  <c r="K670" i="7" s="1"/>
  <c r="I669" i="7"/>
  <c r="P667" i="7"/>
  <c r="O667" i="7"/>
  <c r="P666" i="7"/>
  <c r="O666" i="7"/>
  <c r="O665" i="7"/>
  <c r="N665" i="7"/>
  <c r="M665" i="7"/>
  <c r="P665" i="7" s="1"/>
  <c r="L665" i="7"/>
  <c r="N660" i="7"/>
  <c r="N658" i="7" s="1"/>
  <c r="L660" i="7"/>
  <c r="P659" i="7"/>
  <c r="O659" i="7"/>
  <c r="N657" i="7"/>
  <c r="O656" i="7"/>
  <c r="N656" i="7"/>
  <c r="M656" i="7"/>
  <c r="P656" i="7" s="1"/>
  <c r="L656" i="7"/>
  <c r="N655" i="7"/>
  <c r="J654" i="7"/>
  <c r="K652" i="7"/>
  <c r="J652" i="7"/>
  <c r="J651" i="7"/>
  <c r="J628" i="7" s="1"/>
  <c r="I651" i="7"/>
  <c r="K650" i="7"/>
  <c r="J650" i="7"/>
  <c r="J649" i="7"/>
  <c r="I649" i="7"/>
  <c r="K649" i="7" s="1"/>
  <c r="K648" i="7"/>
  <c r="J648" i="7"/>
  <c r="J647" i="7"/>
  <c r="I647" i="7"/>
  <c r="K647" i="7" s="1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P639" i="7"/>
  <c r="N639" i="7"/>
  <c r="M639" i="7"/>
  <c r="P634" i="7"/>
  <c r="N634" i="7"/>
  <c r="L634" i="7"/>
  <c r="L632" i="7" s="1"/>
  <c r="O632" i="7" s="1"/>
  <c r="P633" i="7"/>
  <c r="O633" i="7"/>
  <c r="N632" i="7"/>
  <c r="M632" i="7"/>
  <c r="P632" i="7" s="1"/>
  <c r="P631" i="7"/>
  <c r="N631" i="7"/>
  <c r="N629" i="7" s="1"/>
  <c r="M631" i="7"/>
  <c r="O630" i="7"/>
  <c r="N630" i="7"/>
  <c r="M630" i="7"/>
  <c r="L630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4" i="7" s="1"/>
  <c r="J595" i="7"/>
  <c r="I594" i="7"/>
  <c r="K594" i="7" s="1"/>
  <c r="J593" i="7"/>
  <c r="J592" i="7" s="1"/>
  <c r="I593" i="7"/>
  <c r="J583" i="7"/>
  <c r="J582" i="7"/>
  <c r="J576" i="7" s="1"/>
  <c r="J577" i="7"/>
  <c r="I577" i="7"/>
  <c r="K577" i="7" s="1"/>
  <c r="I576" i="7"/>
  <c r="K576" i="7" s="1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J559" i="7"/>
  <c r="J543" i="7" s="1"/>
  <c r="P557" i="7"/>
  <c r="L557" i="7"/>
  <c r="P556" i="7"/>
  <c r="O556" i="7"/>
  <c r="N555" i="7"/>
  <c r="M555" i="7"/>
  <c r="P555" i="7" s="1"/>
  <c r="N549" i="7"/>
  <c r="N547" i="7" s="1"/>
  <c r="L549" i="7"/>
  <c r="O549" i="7" s="1"/>
  <c r="P548" i="7"/>
  <c r="O548" i="7"/>
  <c r="N546" i="7"/>
  <c r="O545" i="7"/>
  <c r="N545" i="7"/>
  <c r="N544" i="7" s="1"/>
  <c r="L545" i="7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P535" i="7"/>
  <c r="L535" i="7"/>
  <c r="O535" i="7" s="1"/>
  <c r="P534" i="7"/>
  <c r="O534" i="7"/>
  <c r="P533" i="7"/>
  <c r="N533" i="7"/>
  <c r="M533" i="7"/>
  <c r="P528" i="7"/>
  <c r="N528" i="7"/>
  <c r="L528" i="7"/>
  <c r="P527" i="7"/>
  <c r="O527" i="7"/>
  <c r="N526" i="7"/>
  <c r="M526" i="7"/>
  <c r="P526" i="7" s="1"/>
  <c r="N525" i="7"/>
  <c r="M525" i="7"/>
  <c r="P525" i="7" s="1"/>
  <c r="N524" i="7"/>
  <c r="N523" i="7" s="1"/>
  <c r="M524" i="7"/>
  <c r="P524" i="7" s="1"/>
  <c r="L524" i="7"/>
  <c r="M523" i="7"/>
  <c r="P523" i="7" s="1"/>
  <c r="K517" i="7"/>
  <c r="J517" i="7"/>
  <c r="K516" i="7"/>
  <c r="P514" i="7"/>
  <c r="O514" i="7"/>
  <c r="P513" i="7"/>
  <c r="O513" i="7"/>
  <c r="P512" i="7"/>
  <c r="O512" i="7"/>
  <c r="N512" i="7"/>
  <c r="M512" i="7"/>
  <c r="L512" i="7"/>
  <c r="P507" i="7"/>
  <c r="O507" i="7"/>
  <c r="N507" i="7"/>
  <c r="P506" i="7"/>
  <c r="O506" i="7"/>
  <c r="M505" i="7"/>
  <c r="P505" i="7" s="1"/>
  <c r="L505" i="7"/>
  <c r="O505" i="7" s="1"/>
  <c r="M504" i="7"/>
  <c r="P504" i="7" s="1"/>
  <c r="L504" i="7"/>
  <c r="O504" i="7" s="1"/>
  <c r="P503" i="7"/>
  <c r="O503" i="7"/>
  <c r="N503" i="7"/>
  <c r="M503" i="7"/>
  <c r="L503" i="7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L477" i="7" s="1"/>
  <c r="O477" i="7" s="1"/>
  <c r="P478" i="7"/>
  <c r="O478" i="7"/>
  <c r="P477" i="7"/>
  <c r="N477" i="7"/>
  <c r="M477" i="7"/>
  <c r="N476" i="7"/>
  <c r="N472" i="7"/>
  <c r="L472" i="7"/>
  <c r="L470" i="7" s="1"/>
  <c r="P471" i="7"/>
  <c r="O471" i="7"/>
  <c r="N468" i="7"/>
  <c r="M468" i="7"/>
  <c r="L468" i="7"/>
  <c r="O468" i="7" s="1"/>
  <c r="J466" i="7"/>
  <c r="I466" i="7"/>
  <c r="K466" i="7" s="1"/>
  <c r="J465" i="7"/>
  <c r="I465" i="7"/>
  <c r="K465" i="7" s="1"/>
  <c r="I464" i="7"/>
  <c r="I463" i="7"/>
  <c r="I462" i="7"/>
  <c r="I460" i="7"/>
  <c r="K460" i="7" s="1"/>
  <c r="K458" i="7"/>
  <c r="P456" i="7"/>
  <c r="L456" i="7"/>
  <c r="O456" i="7" s="1"/>
  <c r="P455" i="7"/>
  <c r="O455" i="7"/>
  <c r="N454" i="7"/>
  <c r="M454" i="7"/>
  <c r="P454" i="7" s="1"/>
  <c r="N449" i="7"/>
  <c r="L449" i="7"/>
  <c r="P448" i="7"/>
  <c r="O448" i="7"/>
  <c r="O445" i="7"/>
  <c r="N445" i="7"/>
  <c r="M445" i="7"/>
  <c r="P445" i="7" s="1"/>
  <c r="L445" i="7"/>
  <c r="J443" i="7"/>
  <c r="J442" i="7"/>
  <c r="I441" i="7"/>
  <c r="K441" i="7" s="1"/>
  <c r="I440" i="7"/>
  <c r="K440" i="7" s="1"/>
  <c r="I439" i="7"/>
  <c r="K439" i="7" s="1"/>
  <c r="I438" i="7"/>
  <c r="K438" i="7" s="1"/>
  <c r="I437" i="7"/>
  <c r="K437" i="7" s="1"/>
  <c r="I435" i="7"/>
  <c r="J434" i="7"/>
  <c r="J418" i="7" s="1"/>
  <c r="P431" i="7"/>
  <c r="L431" i="7"/>
  <c r="P430" i="7"/>
  <c r="O430" i="7"/>
  <c r="N429" i="7"/>
  <c r="M429" i="7"/>
  <c r="P429" i="7" s="1"/>
  <c r="N428" i="7"/>
  <c r="N424" i="7" s="1"/>
  <c r="N422" i="7" s="1"/>
  <c r="L424" i="7"/>
  <c r="P423" i="7"/>
  <c r="O423" i="7"/>
  <c r="N421" i="7"/>
  <c r="N419" i="7" s="1"/>
  <c r="O420" i="7"/>
  <c r="N420" i="7"/>
  <c r="M420" i="7"/>
  <c r="L420" i="7"/>
  <c r="K413" i="7"/>
  <c r="K412" i="7"/>
  <c r="N410" i="7"/>
  <c r="N408" i="7" s="1"/>
  <c r="M410" i="7"/>
  <c r="P410" i="7" s="1"/>
  <c r="L410" i="7"/>
  <c r="P409" i="7"/>
  <c r="O409" i="7"/>
  <c r="N407" i="7"/>
  <c r="M407" i="7"/>
  <c r="P407" i="7" s="1"/>
  <c r="L407" i="7"/>
  <c r="L405" i="7" s="1"/>
  <c r="O405" i="7" s="1"/>
  <c r="P406" i="7"/>
  <c r="O406" i="7"/>
  <c r="O403" i="7"/>
  <c r="N403" i="7"/>
  <c r="M403" i="7"/>
  <c r="P403" i="7" s="1"/>
  <c r="L403" i="7"/>
  <c r="J401" i="7"/>
  <c r="I401" i="7"/>
  <c r="K401" i="7" s="1"/>
  <c r="K400" i="7"/>
  <c r="K399" i="7"/>
  <c r="N397" i="7"/>
  <c r="N395" i="7" s="1"/>
  <c r="M397" i="7"/>
  <c r="P397" i="7" s="1"/>
  <c r="L397" i="7"/>
  <c r="O397" i="7" s="1"/>
  <c r="P396" i="7"/>
  <c r="O396" i="7"/>
  <c r="N394" i="7"/>
  <c r="M394" i="7"/>
  <c r="M392" i="7" s="1"/>
  <c r="P392" i="7" s="1"/>
  <c r="L394" i="7"/>
  <c r="O394" i="7" s="1"/>
  <c r="P393" i="7"/>
  <c r="O393" i="7"/>
  <c r="P390" i="7"/>
  <c r="O390" i="7"/>
  <c r="N390" i="7"/>
  <c r="M390" i="7"/>
  <c r="L390" i="7"/>
  <c r="J388" i="7"/>
  <c r="I388" i="7"/>
  <c r="K388" i="7" s="1"/>
  <c r="J385" i="7"/>
  <c r="I385" i="7"/>
  <c r="K385" i="7" s="1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L353" i="7"/>
  <c r="L351" i="7" s="1"/>
  <c r="P352" i="7"/>
  <c r="O352" i="7"/>
  <c r="N350" i="7"/>
  <c r="M350" i="7"/>
  <c r="M348" i="7" s="1"/>
  <c r="L350" i="7"/>
  <c r="L348" i="7" s="1"/>
  <c r="P349" i="7"/>
  <c r="O349" i="7"/>
  <c r="N346" i="7"/>
  <c r="M346" i="7"/>
  <c r="L346" i="7"/>
  <c r="J343" i="7"/>
  <c r="J342" i="7"/>
  <c r="J341" i="7"/>
  <c r="J340" i="7"/>
  <c r="I340" i="7"/>
  <c r="J338" i="7"/>
  <c r="I338" i="7"/>
  <c r="N336" i="7"/>
  <c r="N334" i="7" s="1"/>
  <c r="M336" i="7"/>
  <c r="M334" i="7" s="1"/>
  <c r="P334" i="7" s="1"/>
  <c r="L336" i="7"/>
  <c r="P335" i="7"/>
  <c r="O335" i="7"/>
  <c r="N333" i="7"/>
  <c r="N331" i="7" s="1"/>
  <c r="M333" i="7"/>
  <c r="L333" i="7"/>
  <c r="L331" i="7" s="1"/>
  <c r="P332" i="7"/>
  <c r="O332" i="7"/>
  <c r="P329" i="7"/>
  <c r="O329" i="7"/>
  <c r="N329" i="7"/>
  <c r="M329" i="7"/>
  <c r="L329" i="7"/>
  <c r="I327" i="7"/>
  <c r="I325" i="7"/>
  <c r="I314" i="7" s="1"/>
  <c r="K314" i="7" s="1"/>
  <c r="N323" i="7"/>
  <c r="N321" i="7" s="1"/>
  <c r="M323" i="7"/>
  <c r="M321" i="7" s="1"/>
  <c r="P321" i="7" s="1"/>
  <c r="L323" i="7"/>
  <c r="L321" i="7" s="1"/>
  <c r="O321" i="7" s="1"/>
  <c r="P322" i="7"/>
  <c r="O322" i="7"/>
  <c r="N320" i="7"/>
  <c r="M320" i="7"/>
  <c r="L320" i="7"/>
  <c r="P319" i="7"/>
  <c r="O319" i="7"/>
  <c r="N316" i="7"/>
  <c r="M316" i="7"/>
  <c r="P316" i="7" s="1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P306" i="7" s="1"/>
  <c r="L306" i="7"/>
  <c r="O306" i="7" s="1"/>
  <c r="P305" i="7"/>
  <c r="O305" i="7"/>
  <c r="N303" i="7"/>
  <c r="N301" i="7" s="1"/>
  <c r="M303" i="7"/>
  <c r="P303" i="7" s="1"/>
  <c r="L303" i="7"/>
  <c r="P302" i="7"/>
  <c r="O302" i="7"/>
  <c r="O299" i="7"/>
  <c r="N299" i="7"/>
  <c r="M299" i="7"/>
  <c r="P299" i="7" s="1"/>
  <c r="L299" i="7"/>
  <c r="J297" i="7"/>
  <c r="I294" i="7"/>
  <c r="K294" i="7" s="1"/>
  <c r="I293" i="7"/>
  <c r="K293" i="7" s="1"/>
  <c r="I291" i="7"/>
  <c r="K291" i="7" s="1"/>
  <c r="I290" i="7"/>
  <c r="K290" i="7" s="1"/>
  <c r="I288" i="7"/>
  <c r="K288" i="7" s="1"/>
  <c r="I287" i="7"/>
  <c r="K287" i="7" s="1"/>
  <c r="N285" i="7"/>
  <c r="M285" i="7"/>
  <c r="P285" i="7" s="1"/>
  <c r="L285" i="7"/>
  <c r="L283" i="7" s="1"/>
  <c r="O283" i="7" s="1"/>
  <c r="P284" i="7"/>
  <c r="O284" i="7"/>
  <c r="N282" i="7"/>
  <c r="N280" i="7" s="1"/>
  <c r="M282" i="7"/>
  <c r="L282" i="7"/>
  <c r="P281" i="7"/>
  <c r="O281" i="7"/>
  <c r="P278" i="7"/>
  <c r="O278" i="7"/>
  <c r="N278" i="7"/>
  <c r="M278" i="7"/>
  <c r="L278" i="7"/>
  <c r="J276" i="7"/>
  <c r="I271" i="7"/>
  <c r="N269" i="7"/>
  <c r="N267" i="7" s="1"/>
  <c r="M269" i="7"/>
  <c r="P269" i="7" s="1"/>
  <c r="L269" i="7"/>
  <c r="O269" i="7" s="1"/>
  <c r="P268" i="7"/>
  <c r="O268" i="7"/>
  <c r="N266" i="7"/>
  <c r="M266" i="7"/>
  <c r="M264" i="7" s="1"/>
  <c r="L266" i="7"/>
  <c r="P265" i="7"/>
  <c r="O265" i="7"/>
  <c r="O262" i="7"/>
  <c r="N262" i="7"/>
  <c r="M262" i="7"/>
  <c r="P262" i="7" s="1"/>
  <c r="L262" i="7"/>
  <c r="J260" i="7"/>
  <c r="K258" i="7"/>
  <c r="K257" i="7"/>
  <c r="I255" i="7"/>
  <c r="K255" i="7" s="1"/>
  <c r="L253" i="7"/>
  <c r="L252" i="7"/>
  <c r="L251" i="7"/>
  <c r="L250" i="7"/>
  <c r="P249" i="7"/>
  <c r="N249" i="7"/>
  <c r="J248" i="7"/>
  <c r="K247" i="7"/>
  <c r="K246" i="7"/>
  <c r="I244" i="7"/>
  <c r="K244" i="7" s="1"/>
  <c r="L242" i="7"/>
  <c r="L241" i="7"/>
  <c r="L240" i="7"/>
  <c r="L239" i="7"/>
  <c r="P238" i="7"/>
  <c r="N238" i="7"/>
  <c r="N227" i="7" s="1"/>
  <c r="J237" i="7"/>
  <c r="J226" i="7" s="1"/>
  <c r="J236" i="7"/>
  <c r="I236" i="7"/>
  <c r="K236" i="7" s="1"/>
  <c r="J235" i="7"/>
  <c r="I235" i="7"/>
  <c r="K235" i="7" s="1"/>
  <c r="J233" i="7"/>
  <c r="N231" i="7"/>
  <c r="N230" i="7"/>
  <c r="N229" i="7"/>
  <c r="N228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L202" i="7"/>
  <c r="L201" i="7"/>
  <c r="L200" i="7"/>
  <c r="L199" i="7"/>
  <c r="P198" i="7"/>
  <c r="N198" i="7"/>
  <c r="J197" i="7"/>
  <c r="J194" i="7"/>
  <c r="I193" i="7"/>
  <c r="I190" i="7" s="1"/>
  <c r="K190" i="7" s="1"/>
  <c r="P191" i="7"/>
  <c r="L191" i="7"/>
  <c r="O191" i="7" s="1"/>
  <c r="J190" i="7"/>
  <c r="N189" i="7"/>
  <c r="N187" i="7" s="1"/>
  <c r="M189" i="7"/>
  <c r="P189" i="7" s="1"/>
  <c r="L189" i="7"/>
  <c r="L187" i="7" s="1"/>
  <c r="O187" i="7" s="1"/>
  <c r="P188" i="7"/>
  <c r="O188" i="7"/>
  <c r="N186" i="7"/>
  <c r="N184" i="7" s="1"/>
  <c r="M186" i="7"/>
  <c r="L186" i="7"/>
  <c r="P185" i="7"/>
  <c r="O185" i="7"/>
  <c r="O182" i="7"/>
  <c r="N182" i="7"/>
  <c r="M182" i="7"/>
  <c r="P182" i="7" s="1"/>
  <c r="L182" i="7"/>
  <c r="J180" i="7"/>
  <c r="J177" i="7"/>
  <c r="I176" i="7"/>
  <c r="I174" i="7" s="1"/>
  <c r="I164" i="7" s="1"/>
  <c r="K164" i="7" s="1"/>
  <c r="J174" i="7"/>
  <c r="J164" i="7" s="1"/>
  <c r="N173" i="7"/>
  <c r="N171" i="7" s="1"/>
  <c r="M173" i="7"/>
  <c r="P173" i="7" s="1"/>
  <c r="L173" i="7"/>
  <c r="P172" i="7"/>
  <c r="O172" i="7"/>
  <c r="N170" i="7"/>
  <c r="N168" i="7" s="1"/>
  <c r="M170" i="7"/>
  <c r="L170" i="7"/>
  <c r="P169" i="7"/>
  <c r="O169" i="7"/>
  <c r="N166" i="7"/>
  <c r="M166" i="7"/>
  <c r="P166" i="7" s="1"/>
  <c r="L166" i="7"/>
  <c r="I159" i="7"/>
  <c r="I148" i="7" s="1"/>
  <c r="K148" i="7" s="1"/>
  <c r="N157" i="7"/>
  <c r="N155" i="7" s="1"/>
  <c r="M157" i="7"/>
  <c r="P157" i="7" s="1"/>
  <c r="L157" i="7"/>
  <c r="P156" i="7"/>
  <c r="O156" i="7"/>
  <c r="N154" i="7"/>
  <c r="M154" i="7"/>
  <c r="M152" i="7" s="1"/>
  <c r="P152" i="7" s="1"/>
  <c r="L154" i="7"/>
  <c r="O154" i="7" s="1"/>
  <c r="P153" i="7"/>
  <c r="O153" i="7"/>
  <c r="P150" i="7"/>
  <c r="N150" i="7"/>
  <c r="M150" i="7"/>
  <c r="L150" i="7"/>
  <c r="O150" i="7" s="1"/>
  <c r="J148" i="7"/>
  <c r="I146" i="7"/>
  <c r="K146" i="7" s="1"/>
  <c r="I145" i="7"/>
  <c r="I143" i="7" s="1"/>
  <c r="I144" i="7"/>
  <c r="N140" i="7"/>
  <c r="N138" i="7" s="1"/>
  <c r="M140" i="7"/>
  <c r="L140" i="7"/>
  <c r="P139" i="7"/>
  <c r="O139" i="7"/>
  <c r="N137" i="7"/>
  <c r="M137" i="7"/>
  <c r="L137" i="7"/>
  <c r="O137" i="7" s="1"/>
  <c r="P136" i="7"/>
  <c r="O136" i="7"/>
  <c r="P133" i="7"/>
  <c r="N133" i="7"/>
  <c r="M133" i="7"/>
  <c r="L133" i="7"/>
  <c r="O133" i="7" s="1"/>
  <c r="J130" i="7"/>
  <c r="N127" i="7"/>
  <c r="N125" i="7" s="1"/>
  <c r="M127" i="7"/>
  <c r="P127" i="7" s="1"/>
  <c r="L127" i="7"/>
  <c r="O127" i="7" s="1"/>
  <c r="P126" i="7"/>
  <c r="O126" i="7"/>
  <c r="N124" i="7"/>
  <c r="N122" i="7" s="1"/>
  <c r="M124" i="7"/>
  <c r="L124" i="7"/>
  <c r="O124" i="7" s="1"/>
  <c r="P123" i="7"/>
  <c r="O123" i="7"/>
  <c r="O120" i="7"/>
  <c r="N120" i="7"/>
  <c r="M120" i="7"/>
  <c r="L120" i="7"/>
  <c r="I116" i="7"/>
  <c r="K116" i="7" s="1"/>
  <c r="I115" i="7"/>
  <c r="K115" i="7" s="1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J99" i="7"/>
  <c r="I99" i="7"/>
  <c r="I87" i="7" s="1"/>
  <c r="J98" i="7"/>
  <c r="I98" i="7"/>
  <c r="I86" i="7" s="1"/>
  <c r="N96" i="7"/>
  <c r="N94" i="7" s="1"/>
  <c r="M96" i="7"/>
  <c r="P96" i="7" s="1"/>
  <c r="L96" i="7"/>
  <c r="L94" i="7" s="1"/>
  <c r="O94" i="7" s="1"/>
  <c r="P95" i="7"/>
  <c r="O95" i="7"/>
  <c r="N93" i="7"/>
  <c r="N91" i="7" s="1"/>
  <c r="M93" i="7"/>
  <c r="M91" i="7" s="1"/>
  <c r="L93" i="7"/>
  <c r="L91" i="7" s="1"/>
  <c r="P92" i="7"/>
  <c r="O92" i="7"/>
  <c r="O89" i="7"/>
  <c r="N89" i="7"/>
  <c r="M89" i="7"/>
  <c r="P89" i="7" s="1"/>
  <c r="L89" i="7"/>
  <c r="J87" i="7"/>
  <c r="I84" i="7"/>
  <c r="K84" i="7" s="1"/>
  <c r="I83" i="7"/>
  <c r="K83" i="7" s="1"/>
  <c r="I82" i="7"/>
  <c r="K82" i="7" s="1"/>
  <c r="I81" i="7"/>
  <c r="K81" i="7" s="1"/>
  <c r="I80" i="7"/>
  <c r="K80" i="7" s="1"/>
  <c r="I79" i="7"/>
  <c r="K79" i="7" s="1"/>
  <c r="I78" i="7"/>
  <c r="K78" i="7" s="1"/>
  <c r="J77" i="7"/>
  <c r="J65" i="7" s="1"/>
  <c r="J76" i="7"/>
  <c r="N74" i="7"/>
  <c r="N72" i="7" s="1"/>
  <c r="M74" i="7"/>
  <c r="L74" i="7"/>
  <c r="O74" i="7" s="1"/>
  <c r="P73" i="7"/>
  <c r="O73" i="7"/>
  <c r="N71" i="7"/>
  <c r="N69" i="7" s="1"/>
  <c r="M71" i="7"/>
  <c r="L71" i="7"/>
  <c r="O71" i="7" s="1"/>
  <c r="P70" i="7"/>
  <c r="O70" i="7"/>
  <c r="P67" i="7"/>
  <c r="N67" i="7"/>
  <c r="M67" i="7"/>
  <c r="L67" i="7"/>
  <c r="O67" i="7" s="1"/>
  <c r="J64" i="7"/>
  <c r="N61" i="7"/>
  <c r="N59" i="7" s="1"/>
  <c r="M61" i="7"/>
  <c r="P61" i="7" s="1"/>
  <c r="L61" i="7"/>
  <c r="O61" i="7" s="1"/>
  <c r="P60" i="7"/>
  <c r="O60" i="7"/>
  <c r="N58" i="7"/>
  <c r="N56" i="7" s="1"/>
  <c r="M58" i="7"/>
  <c r="M56" i="7" s="1"/>
  <c r="L58" i="7"/>
  <c r="L56" i="7" s="1"/>
  <c r="P57" i="7"/>
  <c r="O57" i="7"/>
  <c r="O54" i="7"/>
  <c r="N54" i="7"/>
  <c r="M54" i="7"/>
  <c r="L54" i="7"/>
  <c r="N49" i="7"/>
  <c r="N47" i="7" s="1"/>
  <c r="M49" i="7"/>
  <c r="L49" i="7"/>
  <c r="P48" i="7"/>
  <c r="O48" i="7"/>
  <c r="N46" i="7"/>
  <c r="M46" i="7"/>
  <c r="L46" i="7"/>
  <c r="L44" i="7" s="1"/>
  <c r="P45" i="7"/>
  <c r="O45" i="7"/>
  <c r="P42" i="7"/>
  <c r="N42" i="7"/>
  <c r="M42" i="7"/>
  <c r="L42" i="7"/>
  <c r="O42" i="7" s="1"/>
  <c r="N36" i="7"/>
  <c r="M36" i="7"/>
  <c r="P36" i="7" s="1"/>
  <c r="N35" i="7"/>
  <c r="M35" i="7"/>
  <c r="P35" i="7" s="1"/>
  <c r="L35" i="7"/>
  <c r="O35" i="7" s="1"/>
  <c r="N34" i="7"/>
  <c r="N33" i="7"/>
  <c r="N31" i="7" s="1"/>
  <c r="N32" i="7"/>
  <c r="M32" i="7"/>
  <c r="M29" i="7" s="1"/>
  <c r="L32" i="7"/>
  <c r="O32" i="7" s="1"/>
  <c r="N30" i="7"/>
  <c r="O29" i="7"/>
  <c r="N29" i="7"/>
  <c r="N28" i="7" s="1"/>
  <c r="L29" i="7"/>
  <c r="P25" i="7"/>
  <c r="O25" i="7"/>
  <c r="N25" i="7"/>
  <c r="M25" i="7"/>
  <c r="L25" i="7"/>
  <c r="P22" i="7"/>
  <c r="O22" i="7"/>
  <c r="N22" i="7"/>
  <c r="M22" i="7"/>
  <c r="L22" i="7"/>
  <c r="L19" i="7"/>
  <c r="O19" i="7" s="1"/>
  <c r="O15" i="7"/>
  <c r="N15" i="7"/>
  <c r="L15" i="7"/>
  <c r="L12" i="7"/>
  <c r="O12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O815" i="6"/>
  <c r="N815" i="6"/>
  <c r="M815" i="6"/>
  <c r="L815" i="6"/>
  <c r="P810" i="6"/>
  <c r="O810" i="6"/>
  <c r="N810" i="6"/>
  <c r="P809" i="6"/>
  <c r="O809" i="6"/>
  <c r="O808" i="6"/>
  <c r="N808" i="6"/>
  <c r="M808" i="6"/>
  <c r="P808" i="6" s="1"/>
  <c r="L808" i="6"/>
  <c r="N807" i="6"/>
  <c r="N805" i="6" s="1"/>
  <c r="M807" i="6"/>
  <c r="P807" i="6" s="1"/>
  <c r="L807" i="6"/>
  <c r="O807" i="6" s="1"/>
  <c r="N806" i="6"/>
  <c r="M806" i="6"/>
  <c r="L806" i="6"/>
  <c r="O806" i="6" s="1"/>
  <c r="L805" i="6"/>
  <c r="O805" i="6" s="1"/>
  <c r="K804" i="6"/>
  <c r="J804" i="6"/>
  <c r="K802" i="6"/>
  <c r="J801" i="6"/>
  <c r="J800" i="6"/>
  <c r="J785" i="6" s="1"/>
  <c r="I800" i="6"/>
  <c r="P798" i="6"/>
  <c r="O798" i="6"/>
  <c r="P797" i="6"/>
  <c r="O797" i="6"/>
  <c r="P796" i="6"/>
  <c r="O796" i="6"/>
  <c r="N796" i="6"/>
  <c r="M796" i="6"/>
  <c r="L796" i="6"/>
  <c r="P791" i="6"/>
  <c r="N791" i="6"/>
  <c r="L791" i="6"/>
  <c r="L789" i="6" s="1"/>
  <c r="O789" i="6" s="1"/>
  <c r="P790" i="6"/>
  <c r="O790" i="6"/>
  <c r="M789" i="6"/>
  <c r="P789" i="6" s="1"/>
  <c r="M788" i="6"/>
  <c r="P788" i="6" s="1"/>
  <c r="N787" i="6"/>
  <c r="M787" i="6"/>
  <c r="L787" i="6"/>
  <c r="P782" i="6"/>
  <c r="O782" i="6"/>
  <c r="P781" i="6"/>
  <c r="O781" i="6"/>
  <c r="P780" i="6"/>
  <c r="N780" i="6"/>
  <c r="M780" i="6"/>
  <c r="L780" i="6"/>
  <c r="O780" i="6" s="1"/>
  <c r="P775" i="6"/>
  <c r="O775" i="6"/>
  <c r="N775" i="6"/>
  <c r="P774" i="6"/>
  <c r="O774" i="6"/>
  <c r="P773" i="6"/>
  <c r="O773" i="6"/>
  <c r="N773" i="6"/>
  <c r="M773" i="6"/>
  <c r="L773" i="6"/>
  <c r="O772" i="6"/>
  <c r="N772" i="6"/>
  <c r="M772" i="6"/>
  <c r="P772" i="6" s="1"/>
  <c r="L772" i="6"/>
  <c r="N771" i="6"/>
  <c r="M771" i="6"/>
  <c r="P771" i="6" s="1"/>
  <c r="L771" i="6"/>
  <c r="O771" i="6" s="1"/>
  <c r="L770" i="6"/>
  <c r="O770" i="6" s="1"/>
  <c r="K769" i="6"/>
  <c r="J769" i="6"/>
  <c r="P766" i="6"/>
  <c r="O766" i="6"/>
  <c r="P765" i="6"/>
  <c r="O765" i="6"/>
  <c r="P764" i="6"/>
  <c r="N764" i="6"/>
  <c r="M764" i="6"/>
  <c r="L764" i="6"/>
  <c r="O764" i="6" s="1"/>
  <c r="P759" i="6"/>
  <c r="O759" i="6"/>
  <c r="N759" i="6"/>
  <c r="P758" i="6"/>
  <c r="O758" i="6"/>
  <c r="P757" i="6"/>
  <c r="O757" i="6"/>
  <c r="N757" i="6"/>
  <c r="M757" i="6"/>
  <c r="L757" i="6"/>
  <c r="O756" i="6"/>
  <c r="N756" i="6"/>
  <c r="M756" i="6"/>
  <c r="P756" i="6" s="1"/>
  <c r="L756" i="6"/>
  <c r="N755" i="6"/>
  <c r="N754" i="6" s="1"/>
  <c r="M755" i="6"/>
  <c r="P755" i="6" s="1"/>
  <c r="L755" i="6"/>
  <c r="O755" i="6" s="1"/>
  <c r="M754" i="6"/>
  <c r="P754" i="6" s="1"/>
  <c r="L754" i="6"/>
  <c r="O754" i="6" s="1"/>
  <c r="K753" i="6"/>
  <c r="J753" i="6"/>
  <c r="P749" i="6"/>
  <c r="O749" i="6"/>
  <c r="P748" i="6"/>
  <c r="O748" i="6"/>
  <c r="P747" i="6"/>
  <c r="N747" i="6"/>
  <c r="M747" i="6"/>
  <c r="L747" i="6"/>
  <c r="O747" i="6" s="1"/>
  <c r="P742" i="6"/>
  <c r="O742" i="6"/>
  <c r="N742" i="6"/>
  <c r="N740" i="6" s="1"/>
  <c r="P741" i="6"/>
  <c r="O741" i="6"/>
  <c r="P740" i="6"/>
  <c r="O740" i="6"/>
  <c r="M740" i="6"/>
  <c r="L740" i="6"/>
  <c r="O739" i="6"/>
  <c r="N739" i="6"/>
  <c r="M739" i="6"/>
  <c r="P739" i="6" s="1"/>
  <c r="L739" i="6"/>
  <c r="N738" i="6"/>
  <c r="N737" i="6" s="1"/>
  <c r="M738" i="6"/>
  <c r="P738" i="6" s="1"/>
  <c r="L738" i="6"/>
  <c r="O738" i="6" s="1"/>
  <c r="L737" i="6"/>
  <c r="O737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P697" i="6"/>
  <c r="O697" i="6"/>
  <c r="P696" i="6"/>
  <c r="O696" i="6"/>
  <c r="P695" i="6"/>
  <c r="N695" i="6"/>
  <c r="M695" i="6"/>
  <c r="L695" i="6"/>
  <c r="O695" i="6" s="1"/>
  <c r="N694" i="6"/>
  <c r="N690" i="6" s="1"/>
  <c r="L690" i="6"/>
  <c r="O686" i="6"/>
  <c r="N686" i="6"/>
  <c r="M686" i="6"/>
  <c r="P686" i="6" s="1"/>
  <c r="L686" i="6"/>
  <c r="J679" i="6"/>
  <c r="J678" i="6" s="1"/>
  <c r="I678" i="6"/>
  <c r="K678" i="6" s="1"/>
  <c r="J675" i="6"/>
  <c r="J669" i="6" s="1"/>
  <c r="J654" i="6" s="1"/>
  <c r="I671" i="6"/>
  <c r="K671" i="6" s="1"/>
  <c r="I670" i="6"/>
  <c r="K670" i="6" s="1"/>
  <c r="I669" i="6"/>
  <c r="K675" i="6" s="1"/>
  <c r="P667" i="6"/>
  <c r="O667" i="6"/>
  <c r="P666" i="6"/>
  <c r="O666" i="6"/>
  <c r="O665" i="6"/>
  <c r="N665" i="6"/>
  <c r="M665" i="6"/>
  <c r="P665" i="6" s="1"/>
  <c r="L665" i="6"/>
  <c r="N664" i="6"/>
  <c r="N660" i="6"/>
  <c r="N658" i="6" s="1"/>
  <c r="L660" i="6"/>
  <c r="M660" i="6" s="1"/>
  <c r="P659" i="6"/>
  <c r="O659" i="6"/>
  <c r="N657" i="6"/>
  <c r="N656" i="6"/>
  <c r="M656" i="6"/>
  <c r="L656" i="6"/>
  <c r="O656" i="6" s="1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N639" i="6"/>
  <c r="M639" i="6"/>
  <c r="P639" i="6" s="1"/>
  <c r="N638" i="6"/>
  <c r="N634" i="6" s="1"/>
  <c r="N631" i="6" s="1"/>
  <c r="N629" i="6" s="1"/>
  <c r="L634" i="6"/>
  <c r="M634" i="6" s="1"/>
  <c r="P633" i="6"/>
  <c r="O633" i="6"/>
  <c r="P630" i="6"/>
  <c r="N630" i="6"/>
  <c r="M630" i="6"/>
  <c r="L630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5" i="6"/>
  <c r="J593" i="6" s="1"/>
  <c r="J592" i="6" s="1"/>
  <c r="J594" i="6"/>
  <c r="I594" i="6"/>
  <c r="K594" i="6" s="1"/>
  <c r="I593" i="6"/>
  <c r="J583" i="6"/>
  <c r="J582" i="6"/>
  <c r="J577" i="6"/>
  <c r="I577" i="6"/>
  <c r="K577" i="6" s="1"/>
  <c r="J576" i="6"/>
  <c r="I576" i="6"/>
  <c r="I559" i="6" s="1"/>
  <c r="I543" i="6" s="1"/>
  <c r="J569" i="6"/>
  <c r="I569" i="6"/>
  <c r="J568" i="6"/>
  <c r="I568" i="6"/>
  <c r="J561" i="6"/>
  <c r="I561" i="6"/>
  <c r="K561" i="6" s="1"/>
  <c r="J560" i="6"/>
  <c r="I560" i="6"/>
  <c r="J559" i="6"/>
  <c r="J543" i="6" s="1"/>
  <c r="P557" i="6"/>
  <c r="L557" i="6"/>
  <c r="O557" i="6" s="1"/>
  <c r="P556" i="6"/>
  <c r="O556" i="6"/>
  <c r="P555" i="6"/>
  <c r="N555" i="6"/>
  <c r="M555" i="6"/>
  <c r="N553" i="6"/>
  <c r="N552" i="6"/>
  <c r="L549" i="6"/>
  <c r="P548" i="6"/>
  <c r="O548" i="6"/>
  <c r="P545" i="6"/>
  <c r="N545" i="6"/>
  <c r="M545" i="6"/>
  <c r="L545" i="6"/>
  <c r="I542" i="6"/>
  <c r="K542" i="6" s="1"/>
  <c r="I541" i="6"/>
  <c r="K541" i="6" s="1"/>
  <c r="I540" i="6"/>
  <c r="K540" i="6" s="1"/>
  <c r="I539" i="6"/>
  <c r="K539" i="6" s="1"/>
  <c r="I538" i="6"/>
  <c r="I537" i="6"/>
  <c r="I522" i="6" s="1"/>
  <c r="K522" i="6" s="1"/>
  <c r="P535" i="6"/>
  <c r="L535" i="6"/>
  <c r="P534" i="6"/>
  <c r="O534" i="6"/>
  <c r="N533" i="6"/>
  <c r="M533" i="6"/>
  <c r="P533" i="6" s="1"/>
  <c r="P528" i="6"/>
  <c r="N528" i="6"/>
  <c r="N525" i="6" s="1"/>
  <c r="L528" i="6"/>
  <c r="O528" i="6" s="1"/>
  <c r="P527" i="6"/>
  <c r="O527" i="6"/>
  <c r="P526" i="6"/>
  <c r="N526" i="6"/>
  <c r="M526" i="6"/>
  <c r="P525" i="6"/>
  <c r="M525" i="6"/>
  <c r="P524" i="6"/>
  <c r="O524" i="6"/>
  <c r="N524" i="6"/>
  <c r="M524" i="6"/>
  <c r="L524" i="6"/>
  <c r="N523" i="6"/>
  <c r="M523" i="6"/>
  <c r="P523" i="6" s="1"/>
  <c r="K517" i="6"/>
  <c r="J517" i="6"/>
  <c r="K516" i="6"/>
  <c r="P514" i="6"/>
  <c r="O514" i="6"/>
  <c r="P513" i="6"/>
  <c r="O513" i="6"/>
  <c r="P512" i="6"/>
  <c r="N512" i="6"/>
  <c r="M512" i="6"/>
  <c r="L512" i="6"/>
  <c r="O512" i="6" s="1"/>
  <c r="P507" i="6"/>
  <c r="O507" i="6"/>
  <c r="N507" i="6"/>
  <c r="P506" i="6"/>
  <c r="O506" i="6"/>
  <c r="P505" i="6"/>
  <c r="O505" i="6"/>
  <c r="N505" i="6"/>
  <c r="M505" i="6"/>
  <c r="L505" i="6"/>
  <c r="O504" i="6"/>
  <c r="N504" i="6"/>
  <c r="M504" i="6"/>
  <c r="P504" i="6" s="1"/>
  <c r="L504" i="6"/>
  <c r="N503" i="6"/>
  <c r="N502" i="6" s="1"/>
  <c r="M503" i="6"/>
  <c r="P503" i="6" s="1"/>
  <c r="L503" i="6"/>
  <c r="O503" i="6" s="1"/>
  <c r="L502" i="6"/>
  <c r="O502" i="6" s="1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P477" i="6"/>
  <c r="N477" i="6"/>
  <c r="M477" i="6"/>
  <c r="N476" i="6"/>
  <c r="N474" i="6"/>
  <c r="N473" i="6"/>
  <c r="N472" i="6" s="1"/>
  <c r="L472" i="6"/>
  <c r="P471" i="6"/>
  <c r="O471" i="6"/>
  <c r="P468" i="6"/>
  <c r="N468" i="6"/>
  <c r="M468" i="6"/>
  <c r="L468" i="6"/>
  <c r="J466" i="6"/>
  <c r="I466" i="6"/>
  <c r="J465" i="6"/>
  <c r="I465" i="6"/>
  <c r="I464" i="6"/>
  <c r="I463" i="6"/>
  <c r="I462" i="6"/>
  <c r="K462" i="6" s="1"/>
  <c r="I460" i="6"/>
  <c r="K460" i="6" s="1"/>
  <c r="K458" i="6"/>
  <c r="P456" i="6"/>
  <c r="L456" i="6"/>
  <c r="O456" i="6" s="1"/>
  <c r="P455" i="6"/>
  <c r="O455" i="6"/>
  <c r="P454" i="6"/>
  <c r="N454" i="6"/>
  <c r="M454" i="6"/>
  <c r="P449" i="6"/>
  <c r="N449" i="6"/>
  <c r="N447" i="6" s="1"/>
  <c r="L449" i="6"/>
  <c r="L447" i="6" s="1"/>
  <c r="O447" i="6" s="1"/>
  <c r="P448" i="6"/>
  <c r="O448" i="6"/>
  <c r="M447" i="6"/>
  <c r="P447" i="6" s="1"/>
  <c r="M446" i="6"/>
  <c r="P446" i="6" s="1"/>
  <c r="N445" i="6"/>
  <c r="M445" i="6"/>
  <c r="L445" i="6"/>
  <c r="O445" i="6" s="1"/>
  <c r="J443" i="6"/>
  <c r="J442" i="6"/>
  <c r="I441" i="6"/>
  <c r="K441" i="6" s="1"/>
  <c r="I440" i="6"/>
  <c r="K440" i="6" s="1"/>
  <c r="I439" i="6"/>
  <c r="K439" i="6" s="1"/>
  <c r="I438" i="6"/>
  <c r="I437" i="6"/>
  <c r="K437" i="6" s="1"/>
  <c r="I435" i="6"/>
  <c r="I433" i="6" s="1"/>
  <c r="I417" i="6" s="1"/>
  <c r="J434" i="6"/>
  <c r="J418" i="6" s="1"/>
  <c r="P431" i="6"/>
  <c r="L431" i="6"/>
  <c r="O431" i="6" s="1"/>
  <c r="P430" i="6"/>
  <c r="O430" i="6"/>
  <c r="P429" i="6"/>
  <c r="N429" i="6"/>
  <c r="M429" i="6"/>
  <c r="N428" i="6"/>
  <c r="N425" i="6"/>
  <c r="N424" i="6" s="1"/>
  <c r="N421" i="6" s="1"/>
  <c r="N419" i="6" s="1"/>
  <c r="L424" i="6"/>
  <c r="M424" i="6" s="1"/>
  <c r="P423" i="6"/>
  <c r="O423" i="6"/>
  <c r="P420" i="6"/>
  <c r="O420" i="6"/>
  <c r="N420" i="6"/>
  <c r="M420" i="6"/>
  <c r="L420" i="6"/>
  <c r="K413" i="6"/>
  <c r="K412" i="6"/>
  <c r="N410" i="6"/>
  <c r="M410" i="6"/>
  <c r="L410" i="6"/>
  <c r="O410" i="6" s="1"/>
  <c r="P409" i="6"/>
  <c r="O409" i="6"/>
  <c r="N407" i="6"/>
  <c r="N405" i="6" s="1"/>
  <c r="M407" i="6"/>
  <c r="P407" i="6" s="1"/>
  <c r="L407" i="6"/>
  <c r="P406" i="6"/>
  <c r="O406" i="6"/>
  <c r="P403" i="6"/>
  <c r="N403" i="6"/>
  <c r="M403" i="6"/>
  <c r="L403" i="6"/>
  <c r="O403" i="6" s="1"/>
  <c r="K401" i="6"/>
  <c r="J401" i="6"/>
  <c r="I401" i="6"/>
  <c r="K400" i="6"/>
  <c r="K399" i="6"/>
  <c r="N397" i="6"/>
  <c r="N395" i="6" s="1"/>
  <c r="M397" i="6"/>
  <c r="M395" i="6" s="1"/>
  <c r="P395" i="6" s="1"/>
  <c r="L397" i="6"/>
  <c r="L395" i="6" s="1"/>
  <c r="O395" i="6" s="1"/>
  <c r="P396" i="6"/>
  <c r="O396" i="6"/>
  <c r="N394" i="6"/>
  <c r="N392" i="6" s="1"/>
  <c r="M394" i="6"/>
  <c r="M392" i="6" s="1"/>
  <c r="P392" i="6" s="1"/>
  <c r="L394" i="6"/>
  <c r="O394" i="6" s="1"/>
  <c r="P393" i="6"/>
  <c r="O393" i="6"/>
  <c r="P390" i="6"/>
  <c r="N390" i="6"/>
  <c r="M390" i="6"/>
  <c r="L390" i="6"/>
  <c r="O390" i="6" s="1"/>
  <c r="J388" i="6"/>
  <c r="I388" i="6"/>
  <c r="K388" i="6" s="1"/>
  <c r="J385" i="6"/>
  <c r="I385" i="6"/>
  <c r="K385" i="6" s="1"/>
  <c r="K382" i="6"/>
  <c r="J382" i="6"/>
  <c r="J381" i="6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M353" i="6"/>
  <c r="L353" i="6"/>
  <c r="L351" i="6" s="1"/>
  <c r="P352" i="6"/>
  <c r="O352" i="6"/>
  <c r="N350" i="6"/>
  <c r="M350" i="6"/>
  <c r="M348" i="6" s="1"/>
  <c r="L350" i="6"/>
  <c r="L348" i="6" s="1"/>
  <c r="P349" i="6"/>
  <c r="O349" i="6"/>
  <c r="P346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L334" i="6" s="1"/>
  <c r="O334" i="6" s="1"/>
  <c r="P335" i="6"/>
  <c r="O335" i="6"/>
  <c r="N333" i="6"/>
  <c r="N331" i="6" s="1"/>
  <c r="M333" i="6"/>
  <c r="M331" i="6" s="1"/>
  <c r="L333" i="6"/>
  <c r="L331" i="6" s="1"/>
  <c r="P332" i="6"/>
  <c r="O332" i="6"/>
  <c r="O329" i="6"/>
  <c r="N329" i="6"/>
  <c r="M329" i="6"/>
  <c r="P329" i="6" s="1"/>
  <c r="L329" i="6"/>
  <c r="I327" i="6"/>
  <c r="I325" i="6"/>
  <c r="I314" i="6" s="1"/>
  <c r="K314" i="6" s="1"/>
  <c r="N323" i="6"/>
  <c r="N321" i="6" s="1"/>
  <c r="M323" i="6"/>
  <c r="P323" i="6" s="1"/>
  <c r="L323" i="6"/>
  <c r="O323" i="6" s="1"/>
  <c r="P322" i="6"/>
  <c r="O322" i="6"/>
  <c r="N320" i="6"/>
  <c r="N318" i="6" s="1"/>
  <c r="M320" i="6"/>
  <c r="L320" i="6"/>
  <c r="O320" i="6" s="1"/>
  <c r="P319" i="6"/>
  <c r="O319" i="6"/>
  <c r="P316" i="6"/>
  <c r="O316" i="6"/>
  <c r="N316" i="6"/>
  <c r="M316" i="6"/>
  <c r="L316" i="6"/>
  <c r="J314" i="6"/>
  <c r="I312" i="6"/>
  <c r="K312" i="6" s="1"/>
  <c r="I311" i="6"/>
  <c r="K311" i="6" s="1"/>
  <c r="I310" i="6"/>
  <c r="K310" i="6" s="1"/>
  <c r="I309" i="6"/>
  <c r="I297" i="6" s="1"/>
  <c r="K297" i="6" s="1"/>
  <c r="N306" i="6"/>
  <c r="N304" i="6" s="1"/>
  <c r="M306" i="6"/>
  <c r="M304" i="6" s="1"/>
  <c r="P304" i="6" s="1"/>
  <c r="L306" i="6"/>
  <c r="O306" i="6" s="1"/>
  <c r="P305" i="6"/>
  <c r="O305" i="6"/>
  <c r="N303" i="6"/>
  <c r="M303" i="6"/>
  <c r="M301" i="6" s="1"/>
  <c r="P301" i="6" s="1"/>
  <c r="L303" i="6"/>
  <c r="O303" i="6" s="1"/>
  <c r="P302" i="6"/>
  <c r="O302" i="6"/>
  <c r="O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K288" i="6" s="1"/>
  <c r="I287" i="6"/>
  <c r="K287" i="6" s="1"/>
  <c r="N285" i="6"/>
  <c r="N283" i="6" s="1"/>
  <c r="M285" i="6"/>
  <c r="L285" i="6"/>
  <c r="P284" i="6"/>
  <c r="O284" i="6"/>
  <c r="N282" i="6"/>
  <c r="M282" i="6"/>
  <c r="L282" i="6"/>
  <c r="O282" i="6" s="1"/>
  <c r="P281" i="6"/>
  <c r="O281" i="6"/>
  <c r="N278" i="6"/>
  <c r="M278" i="6"/>
  <c r="L278" i="6"/>
  <c r="O278" i="6" s="1"/>
  <c r="J276" i="6"/>
  <c r="I271" i="6"/>
  <c r="N269" i="6"/>
  <c r="N267" i="6" s="1"/>
  <c r="M269" i="6"/>
  <c r="P269" i="6" s="1"/>
  <c r="L269" i="6"/>
  <c r="P268" i="6"/>
  <c r="O268" i="6"/>
  <c r="N266" i="6"/>
  <c r="N264" i="6" s="1"/>
  <c r="M266" i="6"/>
  <c r="L266" i="6"/>
  <c r="P265" i="6"/>
  <c r="O265" i="6"/>
  <c r="N262" i="6"/>
  <c r="M262" i="6"/>
  <c r="L262" i="6"/>
  <c r="O262" i="6" s="1"/>
  <c r="J260" i="6"/>
  <c r="K258" i="6"/>
  <c r="K257" i="6"/>
  <c r="I255" i="6"/>
  <c r="K255" i="6" s="1"/>
  <c r="L253" i="6"/>
  <c r="L252" i="6"/>
  <c r="L251" i="6"/>
  <c r="L250" i="6"/>
  <c r="P249" i="6"/>
  <c r="N249" i="6"/>
  <c r="N227" i="6" s="1"/>
  <c r="J248" i="6"/>
  <c r="K247" i="6"/>
  <c r="K246" i="6"/>
  <c r="I244" i="6"/>
  <c r="L242" i="6"/>
  <c r="L241" i="6"/>
  <c r="L240" i="6"/>
  <c r="L239" i="6"/>
  <c r="P238" i="6"/>
  <c r="N238" i="6"/>
  <c r="J237" i="6"/>
  <c r="J236" i="6"/>
  <c r="I236" i="6"/>
  <c r="K236" i="6" s="1"/>
  <c r="K235" i="6"/>
  <c r="J235" i="6"/>
  <c r="I235" i="6"/>
  <c r="J233" i="6"/>
  <c r="N231" i="6"/>
  <c r="N230" i="6"/>
  <c r="N229" i="6"/>
  <c r="N228" i="6"/>
  <c r="J226" i="6"/>
  <c r="I225" i="6"/>
  <c r="K225" i="6" s="1"/>
  <c r="I224" i="6"/>
  <c r="I216" i="6" s="1"/>
  <c r="K216" i="6" s="1"/>
  <c r="I223" i="6"/>
  <c r="K223" i="6" s="1"/>
  <c r="L220" i="6"/>
  <c r="L219" i="6"/>
  <c r="N218" i="6"/>
  <c r="N217" i="6" s="1"/>
  <c r="L218" i="6"/>
  <c r="P217" i="6"/>
  <c r="J216" i="6"/>
  <c r="I215" i="6"/>
  <c r="I208" i="6" s="1"/>
  <c r="K208" i="6" s="1"/>
  <c r="I214" i="6"/>
  <c r="K214" i="6" s="1"/>
  <c r="L212" i="6"/>
  <c r="L211" i="6"/>
  <c r="L210" i="6"/>
  <c r="P209" i="6"/>
  <c r="N209" i="6"/>
  <c r="J208" i="6"/>
  <c r="I204" i="6"/>
  <c r="L202" i="6"/>
  <c r="L201" i="6"/>
  <c r="L200" i="6"/>
  <c r="L199" i="6"/>
  <c r="P198" i="6"/>
  <c r="N198" i="6"/>
  <c r="J197" i="6"/>
  <c r="J194" i="6"/>
  <c r="I193" i="6"/>
  <c r="K193" i="6" s="1"/>
  <c r="P191" i="6"/>
  <c r="N191" i="6"/>
  <c r="L191" i="6"/>
  <c r="J190" i="6"/>
  <c r="N189" i="6"/>
  <c r="N187" i="6" s="1"/>
  <c r="M189" i="6"/>
  <c r="P189" i="6" s="1"/>
  <c r="L189" i="6"/>
  <c r="O189" i="6" s="1"/>
  <c r="P188" i="6"/>
  <c r="O188" i="6"/>
  <c r="N186" i="6"/>
  <c r="N184" i="6" s="1"/>
  <c r="M186" i="6"/>
  <c r="M184" i="6" s="1"/>
  <c r="L186" i="6"/>
  <c r="P185" i="6"/>
  <c r="O185" i="6"/>
  <c r="O182" i="6"/>
  <c r="N182" i="6"/>
  <c r="M182" i="6"/>
  <c r="L182" i="6"/>
  <c r="J180" i="6"/>
  <c r="J177" i="6"/>
  <c r="I176" i="6"/>
  <c r="K176" i="6" s="1"/>
  <c r="J174" i="6"/>
  <c r="N173" i="6"/>
  <c r="N171" i="6" s="1"/>
  <c r="M173" i="6"/>
  <c r="P173" i="6" s="1"/>
  <c r="L173" i="6"/>
  <c r="O173" i="6" s="1"/>
  <c r="P172" i="6"/>
  <c r="O172" i="6"/>
  <c r="N170" i="6"/>
  <c r="N168" i="6" s="1"/>
  <c r="M170" i="6"/>
  <c r="L170" i="6"/>
  <c r="P169" i="6"/>
  <c r="O169" i="6"/>
  <c r="O166" i="6"/>
  <c r="N166" i="6"/>
  <c r="M166" i="6"/>
  <c r="L166" i="6"/>
  <c r="J164" i="6"/>
  <c r="I159" i="6"/>
  <c r="K159" i="6" s="1"/>
  <c r="N157" i="6"/>
  <c r="M157" i="6"/>
  <c r="P157" i="6" s="1"/>
  <c r="L157" i="6"/>
  <c r="P156" i="6"/>
  <c r="O156" i="6"/>
  <c r="N154" i="6"/>
  <c r="N152" i="6" s="1"/>
  <c r="M154" i="6"/>
  <c r="P154" i="6" s="1"/>
  <c r="L154" i="6"/>
  <c r="P153" i="6"/>
  <c r="O153" i="6"/>
  <c r="N150" i="6"/>
  <c r="M150" i="6"/>
  <c r="L150" i="6"/>
  <c r="O150" i="6" s="1"/>
  <c r="J148" i="6"/>
  <c r="I146" i="6"/>
  <c r="I130" i="6" s="1"/>
  <c r="K130" i="6" s="1"/>
  <c r="I145" i="6"/>
  <c r="I143" i="6" s="1"/>
  <c r="I144" i="6"/>
  <c r="N140" i="6"/>
  <c r="N138" i="6" s="1"/>
  <c r="M140" i="6"/>
  <c r="M138" i="6" s="1"/>
  <c r="P138" i="6" s="1"/>
  <c r="L140" i="6"/>
  <c r="L138" i="6" s="1"/>
  <c r="O138" i="6" s="1"/>
  <c r="P139" i="6"/>
  <c r="O139" i="6"/>
  <c r="N137" i="6"/>
  <c r="M137" i="6"/>
  <c r="M135" i="6" s="1"/>
  <c r="P135" i="6" s="1"/>
  <c r="L137" i="6"/>
  <c r="P136" i="6"/>
  <c r="O136" i="6"/>
  <c r="P133" i="6"/>
  <c r="O133" i="6"/>
  <c r="N133" i="6"/>
  <c r="M133" i="6"/>
  <c r="L133" i="6"/>
  <c r="J130" i="6"/>
  <c r="N127" i="6"/>
  <c r="N125" i="6" s="1"/>
  <c r="M127" i="6"/>
  <c r="P127" i="6" s="1"/>
  <c r="L127" i="6"/>
  <c r="O127" i="6" s="1"/>
  <c r="P126" i="6"/>
  <c r="O126" i="6"/>
  <c r="N124" i="6"/>
  <c r="N122" i="6" s="1"/>
  <c r="M124" i="6"/>
  <c r="M122" i="6" s="1"/>
  <c r="P122" i="6" s="1"/>
  <c r="L124" i="6"/>
  <c r="L122" i="6" s="1"/>
  <c r="O122" i="6" s="1"/>
  <c r="P123" i="6"/>
  <c r="O123" i="6"/>
  <c r="N120" i="6"/>
  <c r="M120" i="6"/>
  <c r="P120" i="6" s="1"/>
  <c r="L120" i="6"/>
  <c r="O120" i="6" s="1"/>
  <c r="I116" i="6"/>
  <c r="K116" i="6" s="1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K99" i="6" s="1"/>
  <c r="J98" i="6"/>
  <c r="I98" i="6"/>
  <c r="I86" i="6" s="1"/>
  <c r="K86" i="6" s="1"/>
  <c r="N96" i="6"/>
  <c r="N94" i="6" s="1"/>
  <c r="M96" i="6"/>
  <c r="M94" i="6" s="1"/>
  <c r="P94" i="6" s="1"/>
  <c r="L96" i="6"/>
  <c r="O96" i="6" s="1"/>
  <c r="P95" i="6"/>
  <c r="O95" i="6"/>
  <c r="N93" i="6"/>
  <c r="N91" i="6" s="1"/>
  <c r="M93" i="6"/>
  <c r="L93" i="6"/>
  <c r="P92" i="6"/>
  <c r="O92" i="6"/>
  <c r="P89" i="6"/>
  <c r="N89" i="6"/>
  <c r="M89" i="6"/>
  <c r="L89" i="6"/>
  <c r="O89" i="6" s="1"/>
  <c r="J87" i="6"/>
  <c r="J86" i="6"/>
  <c r="I84" i="6"/>
  <c r="K84" i="6" s="1"/>
  <c r="I83" i="6"/>
  <c r="K83" i="6" s="1"/>
  <c r="I82" i="6"/>
  <c r="K82" i="6" s="1"/>
  <c r="I81" i="6"/>
  <c r="K81" i="6" s="1"/>
  <c r="I80" i="6"/>
  <c r="K80" i="6" s="1"/>
  <c r="I79" i="6"/>
  <c r="K79" i="6" s="1"/>
  <c r="I78" i="6"/>
  <c r="K78" i="6" s="1"/>
  <c r="J77" i="6"/>
  <c r="J76" i="6"/>
  <c r="N74" i="6"/>
  <c r="N72" i="6" s="1"/>
  <c r="M74" i="6"/>
  <c r="M72" i="6" s="1"/>
  <c r="P72" i="6" s="1"/>
  <c r="L74" i="6"/>
  <c r="O74" i="6" s="1"/>
  <c r="P73" i="6"/>
  <c r="O73" i="6"/>
  <c r="N71" i="6"/>
  <c r="N69" i="6" s="1"/>
  <c r="M71" i="6"/>
  <c r="M69" i="6" s="1"/>
  <c r="P69" i="6" s="1"/>
  <c r="L71" i="6"/>
  <c r="O71" i="6" s="1"/>
  <c r="P70" i="6"/>
  <c r="O70" i="6"/>
  <c r="P67" i="6"/>
  <c r="O67" i="6"/>
  <c r="N67" i="6"/>
  <c r="M67" i="6"/>
  <c r="L67" i="6"/>
  <c r="J65" i="6"/>
  <c r="J64" i="6"/>
  <c r="N61" i="6"/>
  <c r="N59" i="6" s="1"/>
  <c r="M61" i="6"/>
  <c r="M59" i="6" s="1"/>
  <c r="P59" i="6" s="1"/>
  <c r="L61" i="6"/>
  <c r="L59" i="6" s="1"/>
  <c r="O59" i="6" s="1"/>
  <c r="P60" i="6"/>
  <c r="O60" i="6"/>
  <c r="N58" i="6"/>
  <c r="M58" i="6"/>
  <c r="M56" i="6" s="1"/>
  <c r="L58" i="6"/>
  <c r="L56" i="6" s="1"/>
  <c r="P57" i="6"/>
  <c r="O57" i="6"/>
  <c r="N54" i="6"/>
  <c r="M54" i="6"/>
  <c r="P54" i="6" s="1"/>
  <c r="L54" i="6"/>
  <c r="O54" i="6" s="1"/>
  <c r="N49" i="6"/>
  <c r="N47" i="6" s="1"/>
  <c r="M49" i="6"/>
  <c r="P49" i="6" s="1"/>
  <c r="L49" i="6"/>
  <c r="O49" i="6" s="1"/>
  <c r="P48" i="6"/>
  <c r="O48" i="6"/>
  <c r="N46" i="6"/>
  <c r="N44" i="6" s="1"/>
  <c r="M46" i="6"/>
  <c r="M44" i="6" s="1"/>
  <c r="L46" i="6"/>
  <c r="P45" i="6"/>
  <c r="O45" i="6"/>
  <c r="P42" i="6"/>
  <c r="O42" i="6"/>
  <c r="N42" i="6"/>
  <c r="M42" i="6"/>
  <c r="L42" i="6"/>
  <c r="N36" i="6"/>
  <c r="M36" i="6"/>
  <c r="P36" i="6" s="1"/>
  <c r="N35" i="6"/>
  <c r="N34" i="6" s="1"/>
  <c r="M35" i="6"/>
  <c r="P35" i="6" s="1"/>
  <c r="L35" i="6"/>
  <c r="O35" i="6" s="1"/>
  <c r="P34" i="6"/>
  <c r="M34" i="6"/>
  <c r="P32" i="6"/>
  <c r="O32" i="6"/>
  <c r="N32" i="6"/>
  <c r="M32" i="6"/>
  <c r="L32" i="6"/>
  <c r="M29" i="6"/>
  <c r="P29" i="6" s="1"/>
  <c r="L29" i="6"/>
  <c r="O29" i="6" s="1"/>
  <c r="N25" i="6"/>
  <c r="M25" i="6"/>
  <c r="P25" i="6" s="1"/>
  <c r="L25" i="6"/>
  <c r="O25" i="6" s="1"/>
  <c r="N22" i="6"/>
  <c r="M22" i="6"/>
  <c r="P22" i="6" s="1"/>
  <c r="L22" i="6"/>
  <c r="O22" i="6" s="1"/>
  <c r="N19" i="6"/>
  <c r="L19" i="6"/>
  <c r="O15" i="6"/>
  <c r="M15" i="6"/>
  <c r="P15" i="6" s="1"/>
  <c r="L15" i="6"/>
  <c r="M12" i="6"/>
  <c r="P12" i="6" s="1"/>
  <c r="L12" i="6"/>
  <c r="O12" i="6" s="1"/>
  <c r="O9" i="6"/>
  <c r="M9" i="6"/>
  <c r="P9" i="6" s="1"/>
  <c r="L9" i="6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N807" i="5" s="1"/>
  <c r="N805" i="5" s="1"/>
  <c r="P809" i="5"/>
  <c r="O809" i="5"/>
  <c r="O808" i="5"/>
  <c r="N808" i="5"/>
  <c r="M808" i="5"/>
  <c r="P808" i="5" s="1"/>
  <c r="L808" i="5"/>
  <c r="M807" i="5"/>
  <c r="P807" i="5" s="1"/>
  <c r="L807" i="5"/>
  <c r="O807" i="5" s="1"/>
  <c r="N806" i="5"/>
  <c r="M806" i="5"/>
  <c r="P806" i="5" s="1"/>
  <c r="L806" i="5"/>
  <c r="K804" i="5"/>
  <c r="J804" i="5"/>
  <c r="K802" i="5"/>
  <c r="J801" i="5"/>
  <c r="J800" i="5"/>
  <c r="J785" i="5" s="1"/>
  <c r="I800" i="5"/>
  <c r="P798" i="5"/>
  <c r="O798" i="5"/>
  <c r="P797" i="5"/>
  <c r="O797" i="5"/>
  <c r="P796" i="5"/>
  <c r="O796" i="5"/>
  <c r="N796" i="5"/>
  <c r="M796" i="5"/>
  <c r="L796" i="5"/>
  <c r="P791" i="5"/>
  <c r="N791" i="5"/>
  <c r="N788" i="5" s="1"/>
  <c r="N786" i="5" s="1"/>
  <c r="L791" i="5"/>
  <c r="P790" i="5"/>
  <c r="O790" i="5"/>
  <c r="M789" i="5"/>
  <c r="P789" i="5" s="1"/>
  <c r="M788" i="5"/>
  <c r="P788" i="5" s="1"/>
  <c r="N787" i="5"/>
  <c r="M787" i="5"/>
  <c r="P787" i="5" s="1"/>
  <c r="L787" i="5"/>
  <c r="P782" i="5"/>
  <c r="O782" i="5"/>
  <c r="P781" i="5"/>
  <c r="O781" i="5"/>
  <c r="P780" i="5"/>
  <c r="N780" i="5"/>
  <c r="M780" i="5"/>
  <c r="L780" i="5"/>
  <c r="O780" i="5" s="1"/>
  <c r="P775" i="5"/>
  <c r="O775" i="5"/>
  <c r="N775" i="5"/>
  <c r="P774" i="5"/>
  <c r="O774" i="5"/>
  <c r="P773" i="5"/>
  <c r="O773" i="5"/>
  <c r="N773" i="5"/>
  <c r="M773" i="5"/>
  <c r="L773" i="5"/>
  <c r="O772" i="5"/>
  <c r="N772" i="5"/>
  <c r="M772" i="5"/>
  <c r="P772" i="5" s="1"/>
  <c r="L772" i="5"/>
  <c r="N771" i="5"/>
  <c r="N770" i="5" s="1"/>
  <c r="M771" i="5"/>
  <c r="L771" i="5"/>
  <c r="O771" i="5" s="1"/>
  <c r="L770" i="5"/>
  <c r="O770" i="5" s="1"/>
  <c r="K769" i="5"/>
  <c r="J769" i="5"/>
  <c r="P766" i="5"/>
  <c r="O766" i="5"/>
  <c r="P765" i="5"/>
  <c r="O765" i="5"/>
  <c r="P764" i="5"/>
  <c r="N764" i="5"/>
  <c r="M764" i="5"/>
  <c r="L764" i="5"/>
  <c r="O764" i="5" s="1"/>
  <c r="P759" i="5"/>
  <c r="O759" i="5"/>
  <c r="N759" i="5"/>
  <c r="P758" i="5"/>
  <c r="O758" i="5"/>
  <c r="P757" i="5"/>
  <c r="O757" i="5"/>
  <c r="N757" i="5"/>
  <c r="M757" i="5"/>
  <c r="L757" i="5"/>
  <c r="O756" i="5"/>
  <c r="N756" i="5"/>
  <c r="M756" i="5"/>
  <c r="P756" i="5" s="1"/>
  <c r="L756" i="5"/>
  <c r="N755" i="5"/>
  <c r="N754" i="5" s="1"/>
  <c r="M755" i="5"/>
  <c r="L755" i="5"/>
  <c r="O755" i="5" s="1"/>
  <c r="L754" i="5"/>
  <c r="O754" i="5" s="1"/>
  <c r="K753" i="5"/>
  <c r="J753" i="5"/>
  <c r="P749" i="5"/>
  <c r="O749" i="5"/>
  <c r="P748" i="5"/>
  <c r="O748" i="5"/>
  <c r="P747" i="5"/>
  <c r="N747" i="5"/>
  <c r="M747" i="5"/>
  <c r="L747" i="5"/>
  <c r="O747" i="5" s="1"/>
  <c r="P742" i="5"/>
  <c r="O742" i="5"/>
  <c r="N742" i="5"/>
  <c r="P741" i="5"/>
  <c r="O741" i="5"/>
  <c r="P740" i="5"/>
  <c r="O740" i="5"/>
  <c r="N740" i="5"/>
  <c r="M740" i="5"/>
  <c r="L740" i="5"/>
  <c r="O739" i="5"/>
  <c r="N739" i="5"/>
  <c r="M739" i="5"/>
  <c r="P739" i="5" s="1"/>
  <c r="L739" i="5"/>
  <c r="N738" i="5"/>
  <c r="N737" i="5" s="1"/>
  <c r="M738" i="5"/>
  <c r="L738" i="5"/>
  <c r="O738" i="5" s="1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N695" i="5"/>
  <c r="M695" i="5"/>
  <c r="L695" i="5"/>
  <c r="O695" i="5" s="1"/>
  <c r="P690" i="5"/>
  <c r="N690" i="5"/>
  <c r="L690" i="5"/>
  <c r="O690" i="5" s="1"/>
  <c r="N688" i="5"/>
  <c r="M688" i="5"/>
  <c r="P688" i="5" s="1"/>
  <c r="N687" i="5"/>
  <c r="M687" i="5"/>
  <c r="P687" i="5" s="1"/>
  <c r="N686" i="5"/>
  <c r="M686" i="5"/>
  <c r="P686" i="5" s="1"/>
  <c r="L686" i="5"/>
  <c r="N685" i="5"/>
  <c r="J679" i="5"/>
  <c r="J678" i="5" s="1"/>
  <c r="I678" i="5"/>
  <c r="K678" i="5" s="1"/>
  <c r="J675" i="5"/>
  <c r="J669" i="5" s="1"/>
  <c r="J654" i="5" s="1"/>
  <c r="I671" i="5"/>
  <c r="K671" i="5" s="1"/>
  <c r="I670" i="5"/>
  <c r="K670" i="5" s="1"/>
  <c r="I669" i="5"/>
  <c r="K673" i="5" s="1"/>
  <c r="P667" i="5"/>
  <c r="O667" i="5"/>
  <c r="P666" i="5"/>
  <c r="O666" i="5"/>
  <c r="N665" i="5"/>
  <c r="M665" i="5"/>
  <c r="P665" i="5" s="1"/>
  <c r="L665" i="5"/>
  <c r="O665" i="5" s="1"/>
  <c r="P660" i="5"/>
  <c r="N660" i="5"/>
  <c r="N657" i="5" s="1"/>
  <c r="N655" i="5" s="1"/>
  <c r="L660" i="5"/>
  <c r="O660" i="5" s="1"/>
  <c r="P659" i="5"/>
  <c r="O659" i="5"/>
  <c r="P658" i="5"/>
  <c r="N658" i="5"/>
  <c r="M658" i="5"/>
  <c r="P657" i="5"/>
  <c r="M657" i="5"/>
  <c r="M655" i="5" s="1"/>
  <c r="P655" i="5" s="1"/>
  <c r="P656" i="5"/>
  <c r="O656" i="5"/>
  <c r="N656" i="5"/>
  <c r="M656" i="5"/>
  <c r="L656" i="5"/>
  <c r="K652" i="5"/>
  <c r="J652" i="5"/>
  <c r="J651" i="5"/>
  <c r="J628" i="5" s="1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L639" i="5" s="1"/>
  <c r="O639" i="5" s="1"/>
  <c r="P640" i="5"/>
  <c r="O640" i="5"/>
  <c r="N639" i="5"/>
  <c r="M639" i="5"/>
  <c r="P639" i="5" s="1"/>
  <c r="N638" i="5"/>
  <c r="N634" i="5" s="1"/>
  <c r="N637" i="5"/>
  <c r="L634" i="5"/>
  <c r="P633" i="5"/>
  <c r="O633" i="5"/>
  <c r="O630" i="5"/>
  <c r="N630" i="5"/>
  <c r="M630" i="5"/>
  <c r="P630" i="5" s="1"/>
  <c r="L630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3" i="5" s="1"/>
  <c r="J596" i="5"/>
  <c r="J594" i="5" s="1"/>
  <c r="J595" i="5"/>
  <c r="I594" i="5"/>
  <c r="K594" i="5" s="1"/>
  <c r="I593" i="5"/>
  <c r="I592" i="5" s="1"/>
  <c r="J583" i="5"/>
  <c r="J577" i="5" s="1"/>
  <c r="J582" i="5"/>
  <c r="I577" i="5"/>
  <c r="K577" i="5" s="1"/>
  <c r="J576" i="5"/>
  <c r="J559" i="5" s="1"/>
  <c r="J543" i="5" s="1"/>
  <c r="I576" i="5"/>
  <c r="I559" i="5" s="1"/>
  <c r="K559" i="5" s="1"/>
  <c r="J569" i="5"/>
  <c r="I569" i="5"/>
  <c r="J568" i="5"/>
  <c r="I568" i="5"/>
  <c r="K568" i="5" s="1"/>
  <c r="J561" i="5"/>
  <c r="I561" i="5"/>
  <c r="K561" i="5" s="1"/>
  <c r="J560" i="5"/>
  <c r="I560" i="5"/>
  <c r="P557" i="5"/>
  <c r="L557" i="5"/>
  <c r="L555" i="5" s="1"/>
  <c r="O555" i="5" s="1"/>
  <c r="P556" i="5"/>
  <c r="O556" i="5"/>
  <c r="N555" i="5"/>
  <c r="N545" i="5" s="1"/>
  <c r="M555" i="5"/>
  <c r="P555" i="5" s="1"/>
  <c r="N553" i="5"/>
  <c r="N552" i="5"/>
  <c r="N551" i="5"/>
  <c r="N550" i="5"/>
  <c r="N549" i="5" s="1"/>
  <c r="L549" i="5"/>
  <c r="L547" i="5" s="1"/>
  <c r="P548" i="5"/>
  <c r="O548" i="5"/>
  <c r="O545" i="5"/>
  <c r="M545" i="5"/>
  <c r="L545" i="5"/>
  <c r="I542" i="5"/>
  <c r="K542" i="5" s="1"/>
  <c r="I541" i="5"/>
  <c r="K541" i="5" s="1"/>
  <c r="I540" i="5"/>
  <c r="K540" i="5" s="1"/>
  <c r="I539" i="5"/>
  <c r="K539" i="5" s="1"/>
  <c r="I538" i="5"/>
  <c r="K538" i="5" s="1"/>
  <c r="I537" i="5"/>
  <c r="I522" i="5" s="1"/>
  <c r="K522" i="5" s="1"/>
  <c r="P535" i="5"/>
  <c r="L535" i="5"/>
  <c r="O535" i="5" s="1"/>
  <c r="P534" i="5"/>
  <c r="O534" i="5"/>
  <c r="P533" i="5"/>
  <c r="N533" i="5"/>
  <c r="M533" i="5"/>
  <c r="L533" i="5"/>
  <c r="O533" i="5" s="1"/>
  <c r="P528" i="5"/>
  <c r="N528" i="5"/>
  <c r="L528" i="5"/>
  <c r="P527" i="5"/>
  <c r="O527" i="5"/>
  <c r="N526" i="5"/>
  <c r="M526" i="5"/>
  <c r="P526" i="5" s="1"/>
  <c r="P525" i="5"/>
  <c r="N525" i="5"/>
  <c r="M525" i="5"/>
  <c r="O524" i="5"/>
  <c r="N524" i="5"/>
  <c r="N523" i="5" s="1"/>
  <c r="M524" i="5"/>
  <c r="P524" i="5" s="1"/>
  <c r="L524" i="5"/>
  <c r="M523" i="5"/>
  <c r="P523" i="5" s="1"/>
  <c r="K517" i="5"/>
  <c r="J517" i="5"/>
  <c r="J501" i="5" s="1"/>
  <c r="K516" i="5"/>
  <c r="P514" i="5"/>
  <c r="O514" i="5"/>
  <c r="P513" i="5"/>
  <c r="O513" i="5"/>
  <c r="O512" i="5"/>
  <c r="N512" i="5"/>
  <c r="M512" i="5"/>
  <c r="P512" i="5" s="1"/>
  <c r="L512" i="5"/>
  <c r="P507" i="5"/>
  <c r="O507" i="5"/>
  <c r="N507" i="5"/>
  <c r="N504" i="5" s="1"/>
  <c r="P506" i="5"/>
  <c r="O506" i="5"/>
  <c r="O505" i="5"/>
  <c r="N505" i="5"/>
  <c r="M505" i="5"/>
  <c r="P505" i="5" s="1"/>
  <c r="L505" i="5"/>
  <c r="M504" i="5"/>
  <c r="P504" i="5" s="1"/>
  <c r="L504" i="5"/>
  <c r="O504" i="5" s="1"/>
  <c r="N503" i="5"/>
  <c r="M503" i="5"/>
  <c r="P503" i="5" s="1"/>
  <c r="L503" i="5"/>
  <c r="N502" i="5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O479" i="5" s="1"/>
  <c r="P478" i="5"/>
  <c r="O478" i="5"/>
  <c r="P477" i="5"/>
  <c r="N477" i="5"/>
  <c r="M477" i="5"/>
  <c r="N476" i="5"/>
  <c r="N474" i="5"/>
  <c r="N473" i="5"/>
  <c r="N472" i="5" s="1"/>
  <c r="L472" i="5"/>
  <c r="L470" i="5" s="1"/>
  <c r="P471" i="5"/>
  <c r="O471" i="5"/>
  <c r="O468" i="5"/>
  <c r="N468" i="5"/>
  <c r="M468" i="5"/>
  <c r="L468" i="5"/>
  <c r="J466" i="5"/>
  <c r="I466" i="5"/>
  <c r="K466" i="5" s="1"/>
  <c r="J465" i="5"/>
  <c r="I465" i="5"/>
  <c r="K465" i="5" s="1"/>
  <c r="I464" i="5"/>
  <c r="I463" i="5"/>
  <c r="I462" i="5"/>
  <c r="K462" i="5" s="1"/>
  <c r="I460" i="5"/>
  <c r="K458" i="5"/>
  <c r="P456" i="5"/>
  <c r="L456" i="5"/>
  <c r="P455" i="5"/>
  <c r="O455" i="5"/>
  <c r="N454" i="5"/>
  <c r="M454" i="5"/>
  <c r="P454" i="5" s="1"/>
  <c r="P449" i="5"/>
  <c r="N449" i="5"/>
  <c r="N446" i="5" s="1"/>
  <c r="L449" i="5"/>
  <c r="O449" i="5" s="1"/>
  <c r="P448" i="5"/>
  <c r="O448" i="5"/>
  <c r="N447" i="5"/>
  <c r="M447" i="5"/>
  <c r="P447" i="5" s="1"/>
  <c r="M446" i="5"/>
  <c r="P446" i="5" s="1"/>
  <c r="P445" i="5"/>
  <c r="N445" i="5"/>
  <c r="M445" i="5"/>
  <c r="L445" i="5"/>
  <c r="O445" i="5" s="1"/>
  <c r="M444" i="5"/>
  <c r="P444" i="5" s="1"/>
  <c r="J443" i="5"/>
  <c r="J442" i="5"/>
  <c r="I441" i="5"/>
  <c r="K441" i="5" s="1"/>
  <c r="I440" i="5"/>
  <c r="K440" i="5" s="1"/>
  <c r="I439" i="5"/>
  <c r="K439" i="5" s="1"/>
  <c r="I438" i="5"/>
  <c r="K438" i="5" s="1"/>
  <c r="I437" i="5"/>
  <c r="K437" i="5" s="1"/>
  <c r="I435" i="5"/>
  <c r="J434" i="5"/>
  <c r="P431" i="5"/>
  <c r="L431" i="5"/>
  <c r="P430" i="5"/>
  <c r="O430" i="5"/>
  <c r="N429" i="5"/>
  <c r="M429" i="5"/>
  <c r="P429" i="5" s="1"/>
  <c r="N428" i="5"/>
  <c r="N424" i="5" s="1"/>
  <c r="N425" i="5"/>
  <c r="L424" i="5"/>
  <c r="P423" i="5"/>
  <c r="O423" i="5"/>
  <c r="O420" i="5"/>
  <c r="N420" i="5"/>
  <c r="M420" i="5"/>
  <c r="P420" i="5" s="1"/>
  <c r="L420" i="5"/>
  <c r="J418" i="5"/>
  <c r="K413" i="5"/>
  <c r="K412" i="5"/>
  <c r="N410" i="5"/>
  <c r="M410" i="5"/>
  <c r="L410" i="5"/>
  <c r="P409" i="5"/>
  <c r="O409" i="5"/>
  <c r="N407" i="5"/>
  <c r="N405" i="5" s="1"/>
  <c r="M407" i="5"/>
  <c r="L407" i="5"/>
  <c r="P406" i="5"/>
  <c r="O406" i="5"/>
  <c r="N403" i="5"/>
  <c r="M403" i="5"/>
  <c r="P403" i="5" s="1"/>
  <c r="L403" i="5"/>
  <c r="K401" i="5"/>
  <c r="J401" i="5"/>
  <c r="I401" i="5"/>
  <c r="K400" i="5"/>
  <c r="K399" i="5"/>
  <c r="N397" i="5"/>
  <c r="N395" i="5" s="1"/>
  <c r="M397" i="5"/>
  <c r="P397" i="5" s="1"/>
  <c r="L397" i="5"/>
  <c r="P396" i="5"/>
  <c r="O396" i="5"/>
  <c r="N394" i="5"/>
  <c r="M394" i="5"/>
  <c r="L394" i="5"/>
  <c r="P393" i="5"/>
  <c r="O393" i="5"/>
  <c r="O390" i="5"/>
  <c r="N390" i="5"/>
  <c r="M390" i="5"/>
  <c r="P390" i="5" s="1"/>
  <c r="L390" i="5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M353" i="5"/>
  <c r="M351" i="5" s="1"/>
  <c r="L353" i="5"/>
  <c r="P352" i="5"/>
  <c r="O352" i="5"/>
  <c r="N350" i="5"/>
  <c r="N348" i="5" s="1"/>
  <c r="M350" i="5"/>
  <c r="M348" i="5" s="1"/>
  <c r="L350" i="5"/>
  <c r="L348" i="5" s="1"/>
  <c r="P349" i="5"/>
  <c r="O349" i="5"/>
  <c r="O346" i="5"/>
  <c r="N346" i="5"/>
  <c r="M346" i="5"/>
  <c r="P346" i="5" s="1"/>
  <c r="L346" i="5"/>
  <c r="J343" i="5"/>
  <c r="J342" i="5"/>
  <c r="J341" i="5"/>
  <c r="J340" i="5"/>
  <c r="I340" i="5"/>
  <c r="J338" i="5"/>
  <c r="I338" i="5"/>
  <c r="N336" i="5"/>
  <c r="N334" i="5" s="1"/>
  <c r="M336" i="5"/>
  <c r="P336" i="5" s="1"/>
  <c r="L336" i="5"/>
  <c r="L334" i="5" s="1"/>
  <c r="O334" i="5" s="1"/>
  <c r="P335" i="5"/>
  <c r="O335" i="5"/>
  <c r="N333" i="5"/>
  <c r="N331" i="5" s="1"/>
  <c r="M333" i="5"/>
  <c r="L333" i="5"/>
  <c r="L331" i="5" s="1"/>
  <c r="P332" i="5"/>
  <c r="O332" i="5"/>
  <c r="N329" i="5"/>
  <c r="M329" i="5"/>
  <c r="L329" i="5"/>
  <c r="O329" i="5" s="1"/>
  <c r="I327" i="5"/>
  <c r="I325" i="5"/>
  <c r="K325" i="5" s="1"/>
  <c r="N323" i="5"/>
  <c r="N321" i="5" s="1"/>
  <c r="M323" i="5"/>
  <c r="M321" i="5" s="1"/>
  <c r="P321" i="5" s="1"/>
  <c r="L323" i="5"/>
  <c r="O323" i="5" s="1"/>
  <c r="P322" i="5"/>
  <c r="O322" i="5"/>
  <c r="N320" i="5"/>
  <c r="M320" i="5"/>
  <c r="P320" i="5" s="1"/>
  <c r="L320" i="5"/>
  <c r="O320" i="5" s="1"/>
  <c r="P319" i="5"/>
  <c r="O319" i="5"/>
  <c r="P316" i="5"/>
  <c r="O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I297" i="5" s="1"/>
  <c r="N306" i="5"/>
  <c r="N304" i="5" s="1"/>
  <c r="M306" i="5"/>
  <c r="L306" i="5"/>
  <c r="O306" i="5" s="1"/>
  <c r="P305" i="5"/>
  <c r="O305" i="5"/>
  <c r="N303" i="5"/>
  <c r="M303" i="5"/>
  <c r="M301" i="5" s="1"/>
  <c r="L303" i="5"/>
  <c r="L301" i="5" s="1"/>
  <c r="P302" i="5"/>
  <c r="O302" i="5"/>
  <c r="P299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K288" i="5" s="1"/>
  <c r="I287" i="5"/>
  <c r="K287" i="5" s="1"/>
  <c r="N285" i="5"/>
  <c r="N283" i="5" s="1"/>
  <c r="M285" i="5"/>
  <c r="P285" i="5" s="1"/>
  <c r="L285" i="5"/>
  <c r="O285" i="5" s="1"/>
  <c r="P284" i="5"/>
  <c r="O284" i="5"/>
  <c r="N282" i="5"/>
  <c r="N280" i="5" s="1"/>
  <c r="M282" i="5"/>
  <c r="P282" i="5" s="1"/>
  <c r="L282" i="5"/>
  <c r="O282" i="5" s="1"/>
  <c r="P281" i="5"/>
  <c r="O281" i="5"/>
  <c r="N278" i="5"/>
  <c r="M278" i="5"/>
  <c r="L278" i="5"/>
  <c r="O278" i="5" s="1"/>
  <c r="J276" i="5"/>
  <c r="I271" i="5"/>
  <c r="I260" i="5" s="1"/>
  <c r="N269" i="5"/>
  <c r="N267" i="5" s="1"/>
  <c r="M269" i="5"/>
  <c r="M267" i="5" s="1"/>
  <c r="P267" i="5" s="1"/>
  <c r="L269" i="5"/>
  <c r="O269" i="5" s="1"/>
  <c r="P268" i="5"/>
  <c r="O268" i="5"/>
  <c r="N266" i="5"/>
  <c r="N264" i="5" s="1"/>
  <c r="M266" i="5"/>
  <c r="L266" i="5"/>
  <c r="P265" i="5"/>
  <c r="O265" i="5"/>
  <c r="P262" i="5"/>
  <c r="O262" i="5"/>
  <c r="N262" i="5"/>
  <c r="M262" i="5"/>
  <c r="L262" i="5"/>
  <c r="J260" i="5"/>
  <c r="K258" i="5"/>
  <c r="K257" i="5"/>
  <c r="I255" i="5"/>
  <c r="L253" i="5"/>
  <c r="L252" i="5"/>
  <c r="L251" i="5"/>
  <c r="L250" i="5"/>
  <c r="P249" i="5"/>
  <c r="N249" i="5"/>
  <c r="J248" i="5"/>
  <c r="K247" i="5"/>
  <c r="K246" i="5"/>
  <c r="I244" i="5"/>
  <c r="L242" i="5"/>
  <c r="L241" i="5"/>
  <c r="L240" i="5"/>
  <c r="N239" i="5"/>
  <c r="N238" i="5" s="1"/>
  <c r="L239" i="5"/>
  <c r="P238" i="5"/>
  <c r="J237" i="5"/>
  <c r="J226" i="5" s="1"/>
  <c r="J180" i="5" s="1"/>
  <c r="K236" i="5"/>
  <c r="J236" i="5"/>
  <c r="I236" i="5"/>
  <c r="J235" i="5"/>
  <c r="I235" i="5"/>
  <c r="K235" i="5" s="1"/>
  <c r="J233" i="5"/>
  <c r="N231" i="5"/>
  <c r="N230" i="5"/>
  <c r="N229" i="5"/>
  <c r="N228" i="5"/>
  <c r="N227" i="5"/>
  <c r="I225" i="5"/>
  <c r="K225" i="5" s="1"/>
  <c r="I224" i="5"/>
  <c r="I216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I197" i="5" s="1"/>
  <c r="K197" i="5" s="1"/>
  <c r="L202" i="5"/>
  <c r="L201" i="5"/>
  <c r="L200" i="5"/>
  <c r="L199" i="5"/>
  <c r="P198" i="5"/>
  <c r="N198" i="5"/>
  <c r="J197" i="5"/>
  <c r="J195" i="5"/>
  <c r="J194" i="5"/>
  <c r="I193" i="5"/>
  <c r="K193" i="5" s="1"/>
  <c r="P191" i="5"/>
  <c r="N191" i="5"/>
  <c r="L191" i="5"/>
  <c r="J190" i="5"/>
  <c r="N189" i="5"/>
  <c r="N187" i="5" s="1"/>
  <c r="M189" i="5"/>
  <c r="P189" i="5" s="1"/>
  <c r="L189" i="5"/>
  <c r="O189" i="5" s="1"/>
  <c r="P188" i="5"/>
  <c r="O188" i="5"/>
  <c r="N186" i="5"/>
  <c r="M186" i="5"/>
  <c r="M184" i="5" s="1"/>
  <c r="L186" i="5"/>
  <c r="P185" i="5"/>
  <c r="O185" i="5"/>
  <c r="P182" i="5"/>
  <c r="O182" i="5"/>
  <c r="N182" i="5"/>
  <c r="M182" i="5"/>
  <c r="L182" i="5"/>
  <c r="J177" i="5"/>
  <c r="I176" i="5"/>
  <c r="K176" i="5" s="1"/>
  <c r="J174" i="5"/>
  <c r="N173" i="5"/>
  <c r="M173" i="5"/>
  <c r="P173" i="5" s="1"/>
  <c r="L173" i="5"/>
  <c r="O173" i="5" s="1"/>
  <c r="P172" i="5"/>
  <c r="O172" i="5"/>
  <c r="N170" i="5"/>
  <c r="N168" i="5" s="1"/>
  <c r="M170" i="5"/>
  <c r="L170" i="5"/>
  <c r="L168" i="5" s="1"/>
  <c r="P169" i="5"/>
  <c r="O169" i="5"/>
  <c r="O166" i="5"/>
  <c r="N166" i="5"/>
  <c r="M166" i="5"/>
  <c r="L166" i="5"/>
  <c r="J164" i="5"/>
  <c r="I159" i="5"/>
  <c r="I148" i="5" s="1"/>
  <c r="K148" i="5" s="1"/>
  <c r="N157" i="5"/>
  <c r="N155" i="5" s="1"/>
  <c r="M157" i="5"/>
  <c r="P157" i="5" s="1"/>
  <c r="L157" i="5"/>
  <c r="L155" i="5" s="1"/>
  <c r="O155" i="5" s="1"/>
  <c r="P156" i="5"/>
  <c r="O156" i="5"/>
  <c r="N154" i="5"/>
  <c r="N152" i="5" s="1"/>
  <c r="M154" i="5"/>
  <c r="L154" i="5"/>
  <c r="L152" i="5" s="1"/>
  <c r="O152" i="5" s="1"/>
  <c r="P153" i="5"/>
  <c r="O153" i="5"/>
  <c r="N150" i="5"/>
  <c r="M150" i="5"/>
  <c r="L150" i="5"/>
  <c r="O150" i="5" s="1"/>
  <c r="J148" i="5"/>
  <c r="I146" i="5"/>
  <c r="I130" i="5" s="1"/>
  <c r="K130" i="5" s="1"/>
  <c r="I145" i="5"/>
  <c r="I144" i="5"/>
  <c r="K144" i="5" s="1"/>
  <c r="N140" i="5"/>
  <c r="M140" i="5"/>
  <c r="L140" i="5"/>
  <c r="L138" i="5" s="1"/>
  <c r="P139" i="5"/>
  <c r="O139" i="5"/>
  <c r="N137" i="5"/>
  <c r="N135" i="5" s="1"/>
  <c r="M137" i="5"/>
  <c r="M135" i="5" s="1"/>
  <c r="L137" i="5"/>
  <c r="L135" i="5" s="1"/>
  <c r="P136" i="5"/>
  <c r="O136" i="5"/>
  <c r="P133" i="5"/>
  <c r="N133" i="5"/>
  <c r="M133" i="5"/>
  <c r="L133" i="5"/>
  <c r="J130" i="5"/>
  <c r="N127" i="5"/>
  <c r="N125" i="5" s="1"/>
  <c r="M127" i="5"/>
  <c r="L127" i="5"/>
  <c r="L125" i="5" s="1"/>
  <c r="P126" i="5"/>
  <c r="O126" i="5"/>
  <c r="N124" i="5"/>
  <c r="M124" i="5"/>
  <c r="P124" i="5" s="1"/>
  <c r="L124" i="5"/>
  <c r="P123" i="5"/>
  <c r="O123" i="5"/>
  <c r="O120" i="5"/>
  <c r="N120" i="5"/>
  <c r="M120" i="5"/>
  <c r="P120" i="5" s="1"/>
  <c r="L120" i="5"/>
  <c r="J118" i="5"/>
  <c r="K118" i="5" s="1"/>
  <c r="I116" i="5"/>
  <c r="K116" i="5" s="1"/>
  <c r="I115" i="5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K99" i="5" s="1"/>
  <c r="J98" i="5"/>
  <c r="I98" i="5"/>
  <c r="K98" i="5" s="1"/>
  <c r="N96" i="5"/>
  <c r="N94" i="5" s="1"/>
  <c r="M96" i="5"/>
  <c r="P96" i="5" s="1"/>
  <c r="L96" i="5"/>
  <c r="L94" i="5" s="1"/>
  <c r="O94" i="5" s="1"/>
  <c r="P95" i="5"/>
  <c r="O95" i="5"/>
  <c r="N93" i="5"/>
  <c r="M93" i="5"/>
  <c r="M91" i="5" s="1"/>
  <c r="L93" i="5"/>
  <c r="P92" i="5"/>
  <c r="O92" i="5"/>
  <c r="O89" i="5"/>
  <c r="N89" i="5"/>
  <c r="M89" i="5"/>
  <c r="P89" i="5" s="1"/>
  <c r="L89" i="5"/>
  <c r="J87" i="5"/>
  <c r="I87" i="5"/>
  <c r="K87" i="5" s="1"/>
  <c r="J86" i="5"/>
  <c r="I84" i="5"/>
  <c r="K84" i="5" s="1"/>
  <c r="I83" i="5"/>
  <c r="K83" i="5" s="1"/>
  <c r="I82" i="5"/>
  <c r="K82" i="5" s="1"/>
  <c r="I81" i="5"/>
  <c r="K81" i="5" s="1"/>
  <c r="I80" i="5"/>
  <c r="I79" i="5"/>
  <c r="I78" i="5"/>
  <c r="K78" i="5" s="1"/>
  <c r="J77" i="5"/>
  <c r="J65" i="5" s="1"/>
  <c r="J76" i="5"/>
  <c r="N74" i="5"/>
  <c r="N72" i="5" s="1"/>
  <c r="M74" i="5"/>
  <c r="M72" i="5" s="1"/>
  <c r="P72" i="5" s="1"/>
  <c r="L74" i="5"/>
  <c r="O74" i="5" s="1"/>
  <c r="P73" i="5"/>
  <c r="O73" i="5"/>
  <c r="N71" i="5"/>
  <c r="M71" i="5"/>
  <c r="M69" i="5" s="1"/>
  <c r="P69" i="5" s="1"/>
  <c r="L71" i="5"/>
  <c r="P70" i="5"/>
  <c r="O70" i="5"/>
  <c r="P67" i="5"/>
  <c r="N67" i="5"/>
  <c r="M67" i="5"/>
  <c r="L67" i="5"/>
  <c r="J64" i="5"/>
  <c r="N61" i="5"/>
  <c r="N59" i="5" s="1"/>
  <c r="M61" i="5"/>
  <c r="L61" i="5"/>
  <c r="L59" i="5" s="1"/>
  <c r="P60" i="5"/>
  <c r="O60" i="5"/>
  <c r="N58" i="5"/>
  <c r="M58" i="5"/>
  <c r="L58" i="5"/>
  <c r="L56" i="5" s="1"/>
  <c r="P57" i="5"/>
  <c r="O57" i="5"/>
  <c r="P54" i="5"/>
  <c r="N54" i="5"/>
  <c r="M54" i="5"/>
  <c r="L54" i="5"/>
  <c r="O54" i="5" s="1"/>
  <c r="N49" i="5"/>
  <c r="N47" i="5" s="1"/>
  <c r="M49" i="5"/>
  <c r="M47" i="5" s="1"/>
  <c r="P47" i="5" s="1"/>
  <c r="L49" i="5"/>
  <c r="P48" i="5"/>
  <c r="O48" i="5"/>
  <c r="N46" i="5"/>
  <c r="N44" i="5" s="1"/>
  <c r="M46" i="5"/>
  <c r="M44" i="5" s="1"/>
  <c r="L46" i="5"/>
  <c r="L44" i="5" s="1"/>
  <c r="P45" i="5"/>
  <c r="O45" i="5"/>
  <c r="P42" i="5"/>
  <c r="N42" i="5"/>
  <c r="M42" i="5"/>
  <c r="L42" i="5"/>
  <c r="O42" i="5" s="1"/>
  <c r="N36" i="5"/>
  <c r="M36" i="5"/>
  <c r="P36" i="5" s="1"/>
  <c r="P35" i="5"/>
  <c r="N35" i="5"/>
  <c r="M35" i="5"/>
  <c r="L35" i="5"/>
  <c r="O35" i="5" s="1"/>
  <c r="M34" i="5"/>
  <c r="P34" i="5" s="1"/>
  <c r="N33" i="5"/>
  <c r="N30" i="5" s="1"/>
  <c r="O32" i="5"/>
  <c r="N32" i="5"/>
  <c r="M32" i="5"/>
  <c r="P32" i="5" s="1"/>
  <c r="L32" i="5"/>
  <c r="N31" i="5"/>
  <c r="L29" i="5"/>
  <c r="O25" i="5"/>
  <c r="N25" i="5"/>
  <c r="M25" i="5"/>
  <c r="L25" i="5"/>
  <c r="P22" i="5"/>
  <c r="N22" i="5"/>
  <c r="N19" i="5" s="1"/>
  <c r="M22" i="5"/>
  <c r="L22" i="5"/>
  <c r="M19" i="5"/>
  <c r="L15" i="5"/>
  <c r="N12" i="5"/>
  <c r="M12" i="5"/>
  <c r="J828" i="4"/>
  <c r="I828" i="4"/>
  <c r="J827" i="4"/>
  <c r="I827" i="4"/>
  <c r="J826" i="4"/>
  <c r="I826" i="4"/>
  <c r="K826" i="4" s="1"/>
  <c r="J825" i="4"/>
  <c r="I825" i="4"/>
  <c r="K825" i="4" s="1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N815" i="4"/>
  <c r="M815" i="4"/>
  <c r="L815" i="4"/>
  <c r="O815" i="4" s="1"/>
  <c r="P810" i="4"/>
  <c r="O810" i="4"/>
  <c r="N810" i="4"/>
  <c r="P809" i="4"/>
  <c r="O809" i="4"/>
  <c r="P808" i="4"/>
  <c r="O808" i="4"/>
  <c r="N808" i="4"/>
  <c r="M808" i="4"/>
  <c r="L808" i="4"/>
  <c r="O807" i="4"/>
  <c r="N807" i="4"/>
  <c r="M807" i="4"/>
  <c r="P807" i="4" s="1"/>
  <c r="L807" i="4"/>
  <c r="N806" i="4"/>
  <c r="N805" i="4" s="1"/>
  <c r="M806" i="4"/>
  <c r="L806" i="4"/>
  <c r="O806" i="4" s="1"/>
  <c r="L805" i="4"/>
  <c r="O805" i="4" s="1"/>
  <c r="K804" i="4"/>
  <c r="J804" i="4"/>
  <c r="K802" i="4"/>
  <c r="J801" i="4"/>
  <c r="J800" i="4"/>
  <c r="J785" i="4" s="1"/>
  <c r="I800" i="4"/>
  <c r="P798" i="4"/>
  <c r="O798" i="4"/>
  <c r="P797" i="4"/>
  <c r="O797" i="4"/>
  <c r="P796" i="4"/>
  <c r="O796" i="4"/>
  <c r="N796" i="4"/>
  <c r="M796" i="4"/>
  <c r="L796" i="4"/>
  <c r="P791" i="4"/>
  <c r="N791" i="4"/>
  <c r="L791" i="4"/>
  <c r="L789" i="4" s="1"/>
  <c r="O789" i="4" s="1"/>
  <c r="P790" i="4"/>
  <c r="O790" i="4"/>
  <c r="P789" i="4"/>
  <c r="N789" i="4"/>
  <c r="M789" i="4"/>
  <c r="N788" i="4"/>
  <c r="M788" i="4"/>
  <c r="P788" i="4" s="1"/>
  <c r="N787" i="4"/>
  <c r="M787" i="4"/>
  <c r="L787" i="4"/>
  <c r="O787" i="4" s="1"/>
  <c r="P782" i="4"/>
  <c r="O782" i="4"/>
  <c r="P781" i="4"/>
  <c r="O781" i="4"/>
  <c r="N780" i="4"/>
  <c r="M780" i="4"/>
  <c r="P780" i="4" s="1"/>
  <c r="L780" i="4"/>
  <c r="O780" i="4" s="1"/>
  <c r="P775" i="4"/>
  <c r="O775" i="4"/>
  <c r="N775" i="4"/>
  <c r="P774" i="4"/>
  <c r="O774" i="4"/>
  <c r="P773" i="4"/>
  <c r="O773" i="4"/>
  <c r="N773" i="4"/>
  <c r="M773" i="4"/>
  <c r="L773" i="4"/>
  <c r="P772" i="4"/>
  <c r="O772" i="4"/>
  <c r="N772" i="4"/>
  <c r="M772" i="4"/>
  <c r="L772" i="4"/>
  <c r="O771" i="4"/>
  <c r="N771" i="4"/>
  <c r="N770" i="4" s="1"/>
  <c r="M771" i="4"/>
  <c r="P771" i="4" s="1"/>
  <c r="L771" i="4"/>
  <c r="M770" i="4"/>
  <c r="P770" i="4" s="1"/>
  <c r="L770" i="4"/>
  <c r="O770" i="4" s="1"/>
  <c r="K769" i="4"/>
  <c r="J769" i="4"/>
  <c r="P766" i="4"/>
  <c r="O766" i="4"/>
  <c r="P765" i="4"/>
  <c r="O765" i="4"/>
  <c r="N764" i="4"/>
  <c r="M764" i="4"/>
  <c r="P764" i="4" s="1"/>
  <c r="L764" i="4"/>
  <c r="O764" i="4" s="1"/>
  <c r="P759" i="4"/>
  <c r="O759" i="4"/>
  <c r="N759" i="4"/>
  <c r="P758" i="4"/>
  <c r="O758" i="4"/>
  <c r="P757" i="4"/>
  <c r="O757" i="4"/>
  <c r="N757" i="4"/>
  <c r="M757" i="4"/>
  <c r="L757" i="4"/>
  <c r="P756" i="4"/>
  <c r="O756" i="4"/>
  <c r="N756" i="4"/>
  <c r="M756" i="4"/>
  <c r="L756" i="4"/>
  <c r="O755" i="4"/>
  <c r="N755" i="4"/>
  <c r="N754" i="4" s="1"/>
  <c r="M755" i="4"/>
  <c r="P755" i="4" s="1"/>
  <c r="L755" i="4"/>
  <c r="M754" i="4"/>
  <c r="P754" i="4" s="1"/>
  <c r="L754" i="4"/>
  <c r="O754" i="4" s="1"/>
  <c r="K753" i="4"/>
  <c r="J753" i="4"/>
  <c r="P749" i="4"/>
  <c r="O749" i="4"/>
  <c r="P748" i="4"/>
  <c r="O748" i="4"/>
  <c r="N747" i="4"/>
  <c r="M747" i="4"/>
  <c r="P747" i="4" s="1"/>
  <c r="L747" i="4"/>
  <c r="O747" i="4" s="1"/>
  <c r="P742" i="4"/>
  <c r="O742" i="4"/>
  <c r="N742" i="4"/>
  <c r="P741" i="4"/>
  <c r="O741" i="4"/>
  <c r="P740" i="4"/>
  <c r="O740" i="4"/>
  <c r="N740" i="4"/>
  <c r="M740" i="4"/>
  <c r="L740" i="4"/>
  <c r="P739" i="4"/>
  <c r="O739" i="4"/>
  <c r="N739" i="4"/>
  <c r="M739" i="4"/>
  <c r="L739" i="4"/>
  <c r="O738" i="4"/>
  <c r="N738" i="4"/>
  <c r="N737" i="4" s="1"/>
  <c r="M738" i="4"/>
  <c r="P738" i="4" s="1"/>
  <c r="L738" i="4"/>
  <c r="M737" i="4"/>
  <c r="P737" i="4" s="1"/>
  <c r="L737" i="4"/>
  <c r="O737" i="4" s="1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K720" i="4" s="1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K700" i="4" s="1"/>
  <c r="J699" i="4"/>
  <c r="I699" i="4"/>
  <c r="K699" i="4" s="1"/>
  <c r="P697" i="4"/>
  <c r="O697" i="4"/>
  <c r="P696" i="4"/>
  <c r="O696" i="4"/>
  <c r="N695" i="4"/>
  <c r="M695" i="4"/>
  <c r="P695" i="4" s="1"/>
  <c r="L695" i="4"/>
  <c r="O695" i="4" s="1"/>
  <c r="P690" i="4"/>
  <c r="N690" i="4"/>
  <c r="L690" i="4"/>
  <c r="L687" i="4" s="1"/>
  <c r="O687" i="4" s="1"/>
  <c r="P688" i="4"/>
  <c r="N688" i="4"/>
  <c r="M688" i="4"/>
  <c r="N687" i="4"/>
  <c r="M687" i="4"/>
  <c r="P687" i="4" s="1"/>
  <c r="N686" i="4"/>
  <c r="M686" i="4"/>
  <c r="L686" i="4"/>
  <c r="O686" i="4" s="1"/>
  <c r="J679" i="4"/>
  <c r="J678" i="4" s="1"/>
  <c r="I678" i="4"/>
  <c r="K678" i="4" s="1"/>
  <c r="J675" i="4"/>
  <c r="J669" i="4" s="1"/>
  <c r="J654" i="4" s="1"/>
  <c r="I671" i="4"/>
  <c r="K671" i="4" s="1"/>
  <c r="I670" i="4"/>
  <c r="K670" i="4" s="1"/>
  <c r="I669" i="4"/>
  <c r="P667" i="4"/>
  <c r="O667" i="4"/>
  <c r="P666" i="4"/>
  <c r="O666" i="4"/>
  <c r="N665" i="4"/>
  <c r="M665" i="4"/>
  <c r="P665" i="4" s="1"/>
  <c r="L665" i="4"/>
  <c r="O665" i="4" s="1"/>
  <c r="P660" i="4"/>
  <c r="N660" i="4"/>
  <c r="L660" i="4"/>
  <c r="O660" i="4" s="1"/>
  <c r="P659" i="4"/>
  <c r="O659" i="4"/>
  <c r="N658" i="4"/>
  <c r="M658" i="4"/>
  <c r="P658" i="4" s="1"/>
  <c r="P657" i="4"/>
  <c r="N657" i="4"/>
  <c r="M657" i="4"/>
  <c r="P656" i="4"/>
  <c r="O656" i="4"/>
  <c r="N656" i="4"/>
  <c r="M656" i="4"/>
  <c r="L656" i="4"/>
  <c r="P655" i="4"/>
  <c r="N655" i="4"/>
  <c r="M655" i="4"/>
  <c r="K652" i="4"/>
  <c r="J652" i="4"/>
  <c r="J651" i="4"/>
  <c r="J628" i="4" s="1"/>
  <c r="I651" i="4"/>
  <c r="I628" i="4" s="1"/>
  <c r="K628" i="4" s="1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L639" i="4" s="1"/>
  <c r="O639" i="4" s="1"/>
  <c r="P640" i="4"/>
  <c r="O640" i="4"/>
  <c r="P639" i="4"/>
  <c r="N639" i="4"/>
  <c r="M639" i="4"/>
  <c r="P634" i="4"/>
  <c r="N634" i="4"/>
  <c r="N631" i="4" s="1"/>
  <c r="N629" i="4" s="1"/>
  <c r="L634" i="4"/>
  <c r="P633" i="4"/>
  <c r="O633" i="4"/>
  <c r="N632" i="4"/>
  <c r="M632" i="4"/>
  <c r="P632" i="4" s="1"/>
  <c r="M631" i="4"/>
  <c r="P631" i="4" s="1"/>
  <c r="N630" i="4"/>
  <c r="M630" i="4"/>
  <c r="P630" i="4" s="1"/>
  <c r="L630" i="4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4" i="4" s="1"/>
  <c r="J595" i="4"/>
  <c r="J593" i="4" s="1"/>
  <c r="J592" i="4" s="1"/>
  <c r="I594" i="4"/>
  <c r="I593" i="4"/>
  <c r="J583" i="4"/>
  <c r="J582" i="4"/>
  <c r="J576" i="4" s="1"/>
  <c r="J559" i="4" s="1"/>
  <c r="J543" i="4" s="1"/>
  <c r="J577" i="4"/>
  <c r="I577" i="4"/>
  <c r="I576" i="4"/>
  <c r="I559" i="4" s="1"/>
  <c r="K559" i="4" s="1"/>
  <c r="J569" i="4"/>
  <c r="I569" i="4"/>
  <c r="K569" i="4" s="1"/>
  <c r="J568" i="4"/>
  <c r="I568" i="4"/>
  <c r="K568" i="4" s="1"/>
  <c r="J561" i="4"/>
  <c r="I561" i="4"/>
  <c r="J560" i="4"/>
  <c r="I560" i="4"/>
  <c r="K560" i="4" s="1"/>
  <c r="P557" i="4"/>
  <c r="L557" i="4"/>
  <c r="O557" i="4" s="1"/>
  <c r="P556" i="4"/>
  <c r="O556" i="4"/>
  <c r="N555" i="4"/>
  <c r="M555" i="4"/>
  <c r="P555" i="4" s="1"/>
  <c r="N549" i="4"/>
  <c r="N547" i="4" s="1"/>
  <c r="L549" i="4"/>
  <c r="O549" i="4" s="1"/>
  <c r="P548" i="4"/>
  <c r="O548" i="4"/>
  <c r="N546" i="4"/>
  <c r="O545" i="4"/>
  <c r="N545" i="4"/>
  <c r="L545" i="4"/>
  <c r="N544" i="4"/>
  <c r="I542" i="4"/>
  <c r="K542" i="4" s="1"/>
  <c r="I541" i="4"/>
  <c r="K541" i="4" s="1"/>
  <c r="I540" i="4"/>
  <c r="I539" i="4"/>
  <c r="K539" i="4" s="1"/>
  <c r="I538" i="4"/>
  <c r="K538" i="4" s="1"/>
  <c r="I537" i="4"/>
  <c r="P535" i="4"/>
  <c r="L535" i="4"/>
  <c r="P534" i="4"/>
  <c r="O534" i="4"/>
  <c r="P533" i="4"/>
  <c r="N533" i="4"/>
  <c r="M533" i="4"/>
  <c r="P528" i="4"/>
  <c r="N528" i="4"/>
  <c r="L528" i="4"/>
  <c r="L526" i="4" s="1"/>
  <c r="O526" i="4" s="1"/>
  <c r="P527" i="4"/>
  <c r="O527" i="4"/>
  <c r="P526" i="4"/>
  <c r="N526" i="4"/>
  <c r="M526" i="4"/>
  <c r="P525" i="4"/>
  <c r="N525" i="4"/>
  <c r="N523" i="4" s="1"/>
  <c r="M525" i="4"/>
  <c r="O524" i="4"/>
  <c r="N524" i="4"/>
  <c r="M524" i="4"/>
  <c r="P524" i="4" s="1"/>
  <c r="L524" i="4"/>
  <c r="M523" i="4"/>
  <c r="P523" i="4" s="1"/>
  <c r="K517" i="4"/>
  <c r="J517" i="4"/>
  <c r="J501" i="4" s="1"/>
  <c r="K516" i="4"/>
  <c r="P514" i="4"/>
  <c r="O514" i="4"/>
  <c r="P513" i="4"/>
  <c r="O513" i="4"/>
  <c r="P512" i="4"/>
  <c r="O512" i="4"/>
  <c r="N512" i="4"/>
  <c r="M512" i="4"/>
  <c r="L512" i="4"/>
  <c r="P507" i="4"/>
  <c r="O507" i="4"/>
  <c r="N507" i="4"/>
  <c r="P506" i="4"/>
  <c r="O506" i="4"/>
  <c r="O505" i="4"/>
  <c r="M505" i="4"/>
  <c r="P505" i="4" s="1"/>
  <c r="L505" i="4"/>
  <c r="M504" i="4"/>
  <c r="P504" i="4" s="1"/>
  <c r="L504" i="4"/>
  <c r="O504" i="4" s="1"/>
  <c r="N503" i="4"/>
  <c r="M503" i="4"/>
  <c r="L503" i="4"/>
  <c r="O503" i="4" s="1"/>
  <c r="L502" i="4"/>
  <c r="O502" i="4" s="1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L477" i="4" s="1"/>
  <c r="O477" i="4" s="1"/>
  <c r="P478" i="4"/>
  <c r="O478" i="4"/>
  <c r="P477" i="4"/>
  <c r="N477" i="4"/>
  <c r="M477" i="4"/>
  <c r="N476" i="4"/>
  <c r="N472" i="4"/>
  <c r="L472" i="4"/>
  <c r="L470" i="4" s="1"/>
  <c r="P471" i="4"/>
  <c r="O471" i="4"/>
  <c r="N469" i="4"/>
  <c r="O468" i="4"/>
  <c r="N468" i="4"/>
  <c r="M468" i="4"/>
  <c r="P468" i="4" s="1"/>
  <c r="L468" i="4"/>
  <c r="N467" i="4"/>
  <c r="J466" i="4"/>
  <c r="I466" i="4"/>
  <c r="K466" i="4" s="1"/>
  <c r="J465" i="4"/>
  <c r="I465" i="4"/>
  <c r="K465" i="4" s="1"/>
  <c r="I464" i="4"/>
  <c r="I463" i="4"/>
  <c r="I462" i="4"/>
  <c r="K462" i="4" s="1"/>
  <c r="I460" i="4"/>
  <c r="I442" i="4" s="1"/>
  <c r="K442" i="4" s="1"/>
  <c r="K458" i="4"/>
  <c r="P456" i="4"/>
  <c r="L456" i="4"/>
  <c r="O456" i="4" s="1"/>
  <c r="P455" i="4"/>
  <c r="O455" i="4"/>
  <c r="N454" i="4"/>
  <c r="M454" i="4"/>
  <c r="P454" i="4" s="1"/>
  <c r="N449" i="4"/>
  <c r="N447" i="4" s="1"/>
  <c r="L449" i="4"/>
  <c r="P448" i="4"/>
  <c r="O448" i="4"/>
  <c r="N446" i="4"/>
  <c r="P445" i="4"/>
  <c r="O445" i="4"/>
  <c r="N445" i="4"/>
  <c r="M445" i="4"/>
  <c r="L445" i="4"/>
  <c r="N444" i="4"/>
  <c r="J443" i="4"/>
  <c r="J442" i="4"/>
  <c r="I441" i="4"/>
  <c r="K441" i="4" s="1"/>
  <c r="I440" i="4"/>
  <c r="K440" i="4" s="1"/>
  <c r="I439" i="4"/>
  <c r="K439" i="4" s="1"/>
  <c r="I438" i="4"/>
  <c r="K438" i="4" s="1"/>
  <c r="I437" i="4"/>
  <c r="I435" i="4"/>
  <c r="K435" i="4" s="1"/>
  <c r="J434" i="4"/>
  <c r="P431" i="4"/>
  <c r="L431" i="4"/>
  <c r="O431" i="4" s="1"/>
  <c r="P430" i="4"/>
  <c r="O430" i="4"/>
  <c r="N429" i="4"/>
  <c r="M429" i="4"/>
  <c r="P429" i="4" s="1"/>
  <c r="N424" i="4"/>
  <c r="L424" i="4"/>
  <c r="O424" i="4" s="1"/>
  <c r="P423" i="4"/>
  <c r="O423" i="4"/>
  <c r="N422" i="4"/>
  <c r="N421" i="4"/>
  <c r="P420" i="4"/>
  <c r="O420" i="4"/>
  <c r="N420" i="4"/>
  <c r="M420" i="4"/>
  <c r="L420" i="4"/>
  <c r="N419" i="4"/>
  <c r="J418" i="4"/>
  <c r="K413" i="4"/>
  <c r="K412" i="4"/>
  <c r="N410" i="4"/>
  <c r="N408" i="4" s="1"/>
  <c r="M410" i="4"/>
  <c r="M408" i="4" s="1"/>
  <c r="P408" i="4" s="1"/>
  <c r="L410" i="4"/>
  <c r="O410" i="4" s="1"/>
  <c r="P409" i="4"/>
  <c r="O409" i="4"/>
  <c r="N407" i="4"/>
  <c r="M407" i="4"/>
  <c r="M405" i="4" s="1"/>
  <c r="P405" i="4" s="1"/>
  <c r="L407" i="4"/>
  <c r="O407" i="4" s="1"/>
  <c r="P406" i="4"/>
  <c r="O406" i="4"/>
  <c r="P403" i="4"/>
  <c r="O403" i="4"/>
  <c r="N403" i="4"/>
  <c r="M403" i="4"/>
  <c r="L403" i="4"/>
  <c r="J401" i="4"/>
  <c r="I401" i="4"/>
  <c r="K401" i="4" s="1"/>
  <c r="K400" i="4"/>
  <c r="K399" i="4"/>
  <c r="N397" i="4"/>
  <c r="N395" i="4" s="1"/>
  <c r="M397" i="4"/>
  <c r="P397" i="4" s="1"/>
  <c r="L397" i="4"/>
  <c r="O397" i="4" s="1"/>
  <c r="P396" i="4"/>
  <c r="O396" i="4"/>
  <c r="N394" i="4"/>
  <c r="M394" i="4"/>
  <c r="P394" i="4" s="1"/>
  <c r="L394" i="4"/>
  <c r="O394" i="4" s="1"/>
  <c r="P393" i="4"/>
  <c r="O393" i="4"/>
  <c r="P390" i="4"/>
  <c r="O390" i="4"/>
  <c r="N390" i="4"/>
  <c r="M390" i="4"/>
  <c r="L390" i="4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M351" i="4" s="1"/>
  <c r="L353" i="4"/>
  <c r="P352" i="4"/>
  <c r="O352" i="4"/>
  <c r="N350" i="4"/>
  <c r="N348" i="4" s="1"/>
  <c r="M350" i="4"/>
  <c r="L350" i="4"/>
  <c r="P349" i="4"/>
  <c r="O349" i="4"/>
  <c r="P346" i="4"/>
  <c r="O346" i="4"/>
  <c r="N346" i="4"/>
  <c r="M346" i="4"/>
  <c r="L346" i="4"/>
  <c r="J343" i="4"/>
  <c r="J342" i="4"/>
  <c r="J341" i="4"/>
  <c r="J340" i="4"/>
  <c r="I340" i="4"/>
  <c r="J338" i="4"/>
  <c r="I338" i="4"/>
  <c r="N336" i="4"/>
  <c r="M336" i="4"/>
  <c r="P336" i="4" s="1"/>
  <c r="L336" i="4"/>
  <c r="O336" i="4" s="1"/>
  <c r="P335" i="4"/>
  <c r="O335" i="4"/>
  <c r="N333" i="4"/>
  <c r="N331" i="4" s="1"/>
  <c r="M333" i="4"/>
  <c r="L333" i="4"/>
  <c r="P332" i="4"/>
  <c r="O332" i="4"/>
  <c r="P329" i="4"/>
  <c r="N329" i="4"/>
  <c r="M329" i="4"/>
  <c r="L329" i="4"/>
  <c r="O329" i="4" s="1"/>
  <c r="I327" i="4"/>
  <c r="I325" i="4"/>
  <c r="K325" i="4" s="1"/>
  <c r="N323" i="4"/>
  <c r="N321" i="4" s="1"/>
  <c r="M323" i="4"/>
  <c r="P323" i="4" s="1"/>
  <c r="L323" i="4"/>
  <c r="P322" i="4"/>
  <c r="O322" i="4"/>
  <c r="N320" i="4"/>
  <c r="N318" i="4" s="1"/>
  <c r="M320" i="4"/>
  <c r="L320" i="4"/>
  <c r="O320" i="4" s="1"/>
  <c r="P319" i="4"/>
  <c r="O319" i="4"/>
  <c r="P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M304" i="4" s="1"/>
  <c r="P304" i="4" s="1"/>
  <c r="L306" i="4"/>
  <c r="O306" i="4" s="1"/>
  <c r="P305" i="4"/>
  <c r="O305" i="4"/>
  <c r="N303" i="4"/>
  <c r="M303" i="4"/>
  <c r="M301" i="4" s="1"/>
  <c r="P301" i="4" s="1"/>
  <c r="L303" i="4"/>
  <c r="O303" i="4" s="1"/>
  <c r="P302" i="4"/>
  <c r="O302" i="4"/>
  <c r="O299" i="4"/>
  <c r="N299" i="4"/>
  <c r="M299" i="4"/>
  <c r="P299" i="4" s="1"/>
  <c r="L299" i="4"/>
  <c r="J297" i="4"/>
  <c r="I294" i="4"/>
  <c r="K294" i="4" s="1"/>
  <c r="I293" i="4"/>
  <c r="K293" i="4" s="1"/>
  <c r="I291" i="4"/>
  <c r="K291" i="4" s="1"/>
  <c r="I290" i="4"/>
  <c r="K290" i="4" s="1"/>
  <c r="I288" i="4"/>
  <c r="K288" i="4" s="1"/>
  <c r="I287" i="4"/>
  <c r="K287" i="4" s="1"/>
  <c r="N285" i="4"/>
  <c r="N283" i="4" s="1"/>
  <c r="M285" i="4"/>
  <c r="P285" i="4" s="1"/>
  <c r="L285" i="4"/>
  <c r="O285" i="4" s="1"/>
  <c r="P284" i="4"/>
  <c r="O284" i="4"/>
  <c r="N282" i="4"/>
  <c r="M282" i="4"/>
  <c r="L282" i="4"/>
  <c r="O282" i="4" s="1"/>
  <c r="P281" i="4"/>
  <c r="O281" i="4"/>
  <c r="P278" i="4"/>
  <c r="O278" i="4"/>
  <c r="N278" i="4"/>
  <c r="M278" i="4"/>
  <c r="L278" i="4"/>
  <c r="J276" i="4"/>
  <c r="I271" i="4"/>
  <c r="K271" i="4" s="1"/>
  <c r="N269" i="4"/>
  <c r="M269" i="4"/>
  <c r="M267" i="4" s="1"/>
  <c r="P267" i="4" s="1"/>
  <c r="L269" i="4"/>
  <c r="L267" i="4" s="1"/>
  <c r="O267" i="4" s="1"/>
  <c r="P268" i="4"/>
  <c r="O268" i="4"/>
  <c r="N266" i="4"/>
  <c r="M266" i="4"/>
  <c r="M264" i="4" s="1"/>
  <c r="L266" i="4"/>
  <c r="P265" i="4"/>
  <c r="O265" i="4"/>
  <c r="N262" i="4"/>
  <c r="M262" i="4"/>
  <c r="P262" i="4" s="1"/>
  <c r="L262" i="4"/>
  <c r="J260" i="4"/>
  <c r="K258" i="4"/>
  <c r="K257" i="4"/>
  <c r="I255" i="4"/>
  <c r="L253" i="4"/>
  <c r="L252" i="4"/>
  <c r="L251" i="4"/>
  <c r="L250" i="4"/>
  <c r="P249" i="4"/>
  <c r="N249" i="4"/>
  <c r="J248" i="4"/>
  <c r="J226" i="4" s="1"/>
  <c r="K247" i="4"/>
  <c r="K246" i="4"/>
  <c r="I244" i="4"/>
  <c r="K244" i="4" s="1"/>
  <c r="L242" i="4"/>
  <c r="L241" i="4"/>
  <c r="L240" i="4"/>
  <c r="L239" i="4"/>
  <c r="P238" i="4"/>
  <c r="N238" i="4"/>
  <c r="J237" i="4"/>
  <c r="J236" i="4"/>
  <c r="I236" i="4"/>
  <c r="K236" i="4" s="1"/>
  <c r="K235" i="4"/>
  <c r="J235" i="4"/>
  <c r="I235" i="4"/>
  <c r="J233" i="4"/>
  <c r="N231" i="4"/>
  <c r="N230" i="4"/>
  <c r="N229" i="4"/>
  <c r="N228" i="4"/>
  <c r="N227" i="4"/>
  <c r="I225" i="4"/>
  <c r="K225" i="4" s="1"/>
  <c r="I224" i="4"/>
  <c r="I216" i="4" s="1"/>
  <c r="K216" i="4" s="1"/>
  <c r="I223" i="4"/>
  <c r="K223" i="4" s="1"/>
  <c r="N220" i="4"/>
  <c r="L220" i="4"/>
  <c r="L219" i="4"/>
  <c r="N218" i="4"/>
  <c r="N217" i="4" s="1"/>
  <c r="L218" i="4"/>
  <c r="P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I197" i="4" s="1"/>
  <c r="K197" i="4" s="1"/>
  <c r="L202" i="4"/>
  <c r="L201" i="4"/>
  <c r="L200" i="4"/>
  <c r="L199" i="4"/>
  <c r="P198" i="4"/>
  <c r="N198" i="4"/>
  <c r="J197" i="4"/>
  <c r="J195" i="4"/>
  <c r="J194" i="4" s="1"/>
  <c r="I193" i="4"/>
  <c r="K193" i="4" s="1"/>
  <c r="P191" i="4"/>
  <c r="L191" i="4"/>
  <c r="O191" i="4" s="1"/>
  <c r="J190" i="4"/>
  <c r="N189" i="4"/>
  <c r="N187" i="4" s="1"/>
  <c r="M189" i="4"/>
  <c r="P189" i="4" s="1"/>
  <c r="L189" i="4"/>
  <c r="O189" i="4" s="1"/>
  <c r="P188" i="4"/>
  <c r="O188" i="4"/>
  <c r="N186" i="4"/>
  <c r="M186" i="4"/>
  <c r="L186" i="4"/>
  <c r="L184" i="4" s="1"/>
  <c r="P185" i="4"/>
  <c r="O185" i="4"/>
  <c r="P182" i="4"/>
  <c r="O182" i="4"/>
  <c r="N182" i="4"/>
  <c r="M182" i="4"/>
  <c r="L182" i="4"/>
  <c r="J180" i="4"/>
  <c r="J177" i="4"/>
  <c r="I176" i="4"/>
  <c r="K176" i="4" s="1"/>
  <c r="J174" i="4"/>
  <c r="N173" i="4"/>
  <c r="N171" i="4" s="1"/>
  <c r="M173" i="4"/>
  <c r="L173" i="4"/>
  <c r="O173" i="4" s="1"/>
  <c r="P172" i="4"/>
  <c r="O172" i="4"/>
  <c r="N170" i="4"/>
  <c r="M170" i="4"/>
  <c r="M168" i="4" s="1"/>
  <c r="L170" i="4"/>
  <c r="L168" i="4" s="1"/>
  <c r="P169" i="4"/>
  <c r="O169" i="4"/>
  <c r="O166" i="4"/>
  <c r="N166" i="4"/>
  <c r="M166" i="4"/>
  <c r="P166" i="4" s="1"/>
  <c r="L166" i="4"/>
  <c r="J164" i="4"/>
  <c r="I159" i="4"/>
  <c r="K159" i="4" s="1"/>
  <c r="N157" i="4"/>
  <c r="N155" i="4" s="1"/>
  <c r="M157" i="4"/>
  <c r="P157" i="4" s="1"/>
  <c r="L157" i="4"/>
  <c r="O157" i="4" s="1"/>
  <c r="P156" i="4"/>
  <c r="O156" i="4"/>
  <c r="N154" i="4"/>
  <c r="M154" i="4"/>
  <c r="M152" i="4" s="1"/>
  <c r="P152" i="4" s="1"/>
  <c r="L154" i="4"/>
  <c r="O154" i="4" s="1"/>
  <c r="P153" i="4"/>
  <c r="O153" i="4"/>
  <c r="O150" i="4"/>
  <c r="N150" i="4"/>
  <c r="M150" i="4"/>
  <c r="L150" i="4"/>
  <c r="J148" i="4"/>
  <c r="I146" i="4"/>
  <c r="K146" i="4" s="1"/>
  <c r="I145" i="4"/>
  <c r="I143" i="4" s="1"/>
  <c r="I131" i="4" s="1"/>
  <c r="K131" i="4" s="1"/>
  <c r="I144" i="4"/>
  <c r="N140" i="4"/>
  <c r="N138" i="4" s="1"/>
  <c r="M140" i="4"/>
  <c r="M138" i="4" s="1"/>
  <c r="P138" i="4" s="1"/>
  <c r="L140" i="4"/>
  <c r="O140" i="4" s="1"/>
  <c r="P139" i="4"/>
  <c r="O139" i="4"/>
  <c r="N137" i="4"/>
  <c r="N135" i="4" s="1"/>
  <c r="M137" i="4"/>
  <c r="M135" i="4" s="1"/>
  <c r="P135" i="4" s="1"/>
  <c r="L137" i="4"/>
  <c r="P136" i="4"/>
  <c r="O136" i="4"/>
  <c r="N133" i="4"/>
  <c r="M133" i="4"/>
  <c r="P133" i="4" s="1"/>
  <c r="L133" i="4"/>
  <c r="J130" i="4"/>
  <c r="N127" i="4"/>
  <c r="N125" i="4" s="1"/>
  <c r="M127" i="4"/>
  <c r="P127" i="4" s="1"/>
  <c r="L127" i="4"/>
  <c r="O127" i="4" s="1"/>
  <c r="P126" i="4"/>
  <c r="O126" i="4"/>
  <c r="N124" i="4"/>
  <c r="N122" i="4" s="1"/>
  <c r="M124" i="4"/>
  <c r="P124" i="4" s="1"/>
  <c r="L124" i="4"/>
  <c r="O124" i="4" s="1"/>
  <c r="P123" i="4"/>
  <c r="O123" i="4"/>
  <c r="P120" i="4"/>
  <c r="O120" i="4"/>
  <c r="N120" i="4"/>
  <c r="M120" i="4"/>
  <c r="L120" i="4"/>
  <c r="I116" i="4"/>
  <c r="K116" i="4" s="1"/>
  <c r="I115" i="4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K99" i="4" s="1"/>
  <c r="J98" i="4"/>
  <c r="I98" i="4"/>
  <c r="K98" i="4" s="1"/>
  <c r="N96" i="4"/>
  <c r="N94" i="4" s="1"/>
  <c r="M96" i="4"/>
  <c r="P96" i="4" s="1"/>
  <c r="L96" i="4"/>
  <c r="P95" i="4"/>
  <c r="O95" i="4"/>
  <c r="N93" i="4"/>
  <c r="M93" i="4"/>
  <c r="M91" i="4" s="1"/>
  <c r="L93" i="4"/>
  <c r="P92" i="4"/>
  <c r="O92" i="4"/>
  <c r="P89" i="4"/>
  <c r="O89" i="4"/>
  <c r="N89" i="4"/>
  <c r="M89" i="4"/>
  <c r="L89" i="4"/>
  <c r="J87" i="4"/>
  <c r="J86" i="4"/>
  <c r="I84" i="4"/>
  <c r="K84" i="4" s="1"/>
  <c r="I83" i="4"/>
  <c r="K83" i="4" s="1"/>
  <c r="I82" i="4"/>
  <c r="K82" i="4" s="1"/>
  <c r="I81" i="4"/>
  <c r="K81" i="4" s="1"/>
  <c r="I80" i="4"/>
  <c r="K80" i="4" s="1"/>
  <c r="I79" i="4"/>
  <c r="K79" i="4" s="1"/>
  <c r="I78" i="4"/>
  <c r="K78" i="4" s="1"/>
  <c r="J77" i="4"/>
  <c r="J65" i="4" s="1"/>
  <c r="J76" i="4"/>
  <c r="N74" i="4"/>
  <c r="N72" i="4" s="1"/>
  <c r="M74" i="4"/>
  <c r="P74" i="4" s="1"/>
  <c r="L74" i="4"/>
  <c r="P73" i="4"/>
  <c r="O73" i="4"/>
  <c r="N71" i="4"/>
  <c r="N69" i="4" s="1"/>
  <c r="M71" i="4"/>
  <c r="P71" i="4" s="1"/>
  <c r="L71" i="4"/>
  <c r="P70" i="4"/>
  <c r="O70" i="4"/>
  <c r="O67" i="4"/>
  <c r="N67" i="4"/>
  <c r="M67" i="4"/>
  <c r="P67" i="4" s="1"/>
  <c r="L67" i="4"/>
  <c r="J64" i="4"/>
  <c r="N61" i="4"/>
  <c r="N59" i="4" s="1"/>
  <c r="M61" i="4"/>
  <c r="P61" i="4" s="1"/>
  <c r="L61" i="4"/>
  <c r="O61" i="4" s="1"/>
  <c r="P60" i="4"/>
  <c r="O60" i="4"/>
  <c r="N58" i="4"/>
  <c r="M58" i="4"/>
  <c r="M56" i="4" s="1"/>
  <c r="L58" i="4"/>
  <c r="L56" i="4" s="1"/>
  <c r="P57" i="4"/>
  <c r="O57" i="4"/>
  <c r="N54" i="4"/>
  <c r="M54" i="4"/>
  <c r="L54" i="4"/>
  <c r="O54" i="4" s="1"/>
  <c r="N49" i="4"/>
  <c r="N47" i="4" s="1"/>
  <c r="M49" i="4"/>
  <c r="L49" i="4"/>
  <c r="L47" i="4" s="1"/>
  <c r="O47" i="4" s="1"/>
  <c r="P48" i="4"/>
  <c r="O48" i="4"/>
  <c r="N46" i="4"/>
  <c r="M46" i="4"/>
  <c r="M44" i="4" s="1"/>
  <c r="L46" i="4"/>
  <c r="L44" i="4" s="1"/>
  <c r="P45" i="4"/>
  <c r="O45" i="4"/>
  <c r="P42" i="4"/>
  <c r="O42" i="4"/>
  <c r="N42" i="4"/>
  <c r="M42" i="4"/>
  <c r="L42" i="4"/>
  <c r="N36" i="4"/>
  <c r="M36" i="4"/>
  <c r="P36" i="4" s="1"/>
  <c r="P35" i="4"/>
  <c r="O35" i="4"/>
  <c r="N35" i="4"/>
  <c r="M35" i="4"/>
  <c r="M34" i="4" s="1"/>
  <c r="P34" i="4" s="1"/>
  <c r="L35" i="4"/>
  <c r="N34" i="4"/>
  <c r="N33" i="4"/>
  <c r="N30" i="4" s="1"/>
  <c r="O32" i="4"/>
  <c r="N32" i="4"/>
  <c r="N29" i="4" s="1"/>
  <c r="M32" i="4"/>
  <c r="L32" i="4"/>
  <c r="L29" i="4"/>
  <c r="N28" i="4"/>
  <c r="O25" i="4"/>
  <c r="N25" i="4"/>
  <c r="N15" i="4" s="1"/>
  <c r="M25" i="4"/>
  <c r="L25" i="4"/>
  <c r="L19" i="4" s="1"/>
  <c r="P22" i="4"/>
  <c r="O22" i="4"/>
  <c r="N22" i="4"/>
  <c r="M22" i="4"/>
  <c r="L22" i="4"/>
  <c r="M19" i="4"/>
  <c r="P19" i="4" s="1"/>
  <c r="L15" i="4"/>
  <c r="O12" i="4"/>
  <c r="N12" i="4"/>
  <c r="N9" i="4" s="1"/>
  <c r="L12" i="4"/>
  <c r="L9" i="4"/>
  <c r="O9" i="4" s="1"/>
  <c r="J828" i="3"/>
  <c r="I828" i="3"/>
  <c r="J827" i="3"/>
  <c r="I827" i="3"/>
  <c r="J826" i="3"/>
  <c r="I826" i="3"/>
  <c r="K826" i="3" s="1"/>
  <c r="J825" i="3"/>
  <c r="I825" i="3"/>
  <c r="K825" i="3" s="1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P809" i="3"/>
  <c r="O809" i="3"/>
  <c r="P808" i="3"/>
  <c r="O808" i="3"/>
  <c r="N808" i="3"/>
  <c r="M808" i="3"/>
  <c r="L808" i="3"/>
  <c r="O807" i="3"/>
  <c r="N807" i="3"/>
  <c r="M807" i="3"/>
  <c r="P807" i="3" s="1"/>
  <c r="L807" i="3"/>
  <c r="N806" i="3"/>
  <c r="N805" i="3" s="1"/>
  <c r="M806" i="3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P796" i="3"/>
  <c r="O796" i="3"/>
  <c r="N796" i="3"/>
  <c r="M796" i="3"/>
  <c r="L796" i="3"/>
  <c r="P791" i="3"/>
  <c r="N791" i="3"/>
  <c r="L791" i="3"/>
  <c r="L789" i="3" s="1"/>
  <c r="O789" i="3" s="1"/>
  <c r="P790" i="3"/>
  <c r="O790" i="3"/>
  <c r="P789" i="3"/>
  <c r="N789" i="3"/>
  <c r="M789" i="3"/>
  <c r="N788" i="3"/>
  <c r="M788" i="3"/>
  <c r="P788" i="3" s="1"/>
  <c r="N787" i="3"/>
  <c r="M787" i="3"/>
  <c r="L787" i="3"/>
  <c r="P782" i="3"/>
  <c r="O782" i="3"/>
  <c r="P781" i="3"/>
  <c r="O781" i="3"/>
  <c r="N780" i="3"/>
  <c r="M780" i="3"/>
  <c r="P780" i="3" s="1"/>
  <c r="L780" i="3"/>
  <c r="O780" i="3" s="1"/>
  <c r="P775" i="3"/>
  <c r="O775" i="3"/>
  <c r="N775" i="3"/>
  <c r="P774" i="3"/>
  <c r="O774" i="3"/>
  <c r="P773" i="3"/>
  <c r="O773" i="3"/>
  <c r="N773" i="3"/>
  <c r="M773" i="3"/>
  <c r="L773" i="3"/>
  <c r="P772" i="3"/>
  <c r="O772" i="3"/>
  <c r="N772" i="3"/>
  <c r="M772" i="3"/>
  <c r="L772" i="3"/>
  <c r="O771" i="3"/>
  <c r="N771" i="3"/>
  <c r="M771" i="3"/>
  <c r="L771" i="3"/>
  <c r="L770" i="3"/>
  <c r="O770" i="3" s="1"/>
  <c r="K769" i="3"/>
  <c r="J769" i="3"/>
  <c r="P766" i="3"/>
  <c r="O766" i="3"/>
  <c r="P765" i="3"/>
  <c r="O765" i="3"/>
  <c r="N764" i="3"/>
  <c r="M764" i="3"/>
  <c r="P764" i="3" s="1"/>
  <c r="L764" i="3"/>
  <c r="O764" i="3" s="1"/>
  <c r="P759" i="3"/>
  <c r="O759" i="3"/>
  <c r="N759" i="3"/>
  <c r="P758" i="3"/>
  <c r="O758" i="3"/>
  <c r="P757" i="3"/>
  <c r="O757" i="3"/>
  <c r="N757" i="3"/>
  <c r="M757" i="3"/>
  <c r="L757" i="3"/>
  <c r="P756" i="3"/>
  <c r="O756" i="3"/>
  <c r="N756" i="3"/>
  <c r="M756" i="3"/>
  <c r="L756" i="3"/>
  <c r="O755" i="3"/>
  <c r="N755" i="3"/>
  <c r="M755" i="3"/>
  <c r="P755" i="3" s="1"/>
  <c r="L755" i="3"/>
  <c r="N754" i="3"/>
  <c r="M754" i="3"/>
  <c r="P754" i="3" s="1"/>
  <c r="L754" i="3"/>
  <c r="O754" i="3" s="1"/>
  <c r="K753" i="3"/>
  <c r="J753" i="3"/>
  <c r="P749" i="3"/>
  <c r="O749" i="3"/>
  <c r="P748" i="3"/>
  <c r="O748" i="3"/>
  <c r="N747" i="3"/>
  <c r="M747" i="3"/>
  <c r="P747" i="3" s="1"/>
  <c r="L747" i="3"/>
  <c r="O747" i="3" s="1"/>
  <c r="P742" i="3"/>
  <c r="O742" i="3"/>
  <c r="N742" i="3"/>
  <c r="N740" i="3" s="1"/>
  <c r="P741" i="3"/>
  <c r="O741" i="3"/>
  <c r="P740" i="3"/>
  <c r="O740" i="3"/>
  <c r="M740" i="3"/>
  <c r="L740" i="3"/>
  <c r="P739" i="3"/>
  <c r="O739" i="3"/>
  <c r="N739" i="3"/>
  <c r="M739" i="3"/>
  <c r="L739" i="3"/>
  <c r="O738" i="3"/>
  <c r="N738" i="3"/>
  <c r="M738" i="3"/>
  <c r="P738" i="3" s="1"/>
  <c r="L738" i="3"/>
  <c r="N737" i="3"/>
  <c r="M737" i="3"/>
  <c r="P737" i="3" s="1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N695" i="3"/>
  <c r="M695" i="3"/>
  <c r="P695" i="3" s="1"/>
  <c r="L695" i="3"/>
  <c r="O695" i="3" s="1"/>
  <c r="P690" i="3"/>
  <c r="N690" i="3"/>
  <c r="L690" i="3"/>
  <c r="O690" i="3" s="1"/>
  <c r="P688" i="3"/>
  <c r="N688" i="3"/>
  <c r="M688" i="3"/>
  <c r="N687" i="3"/>
  <c r="M687" i="3"/>
  <c r="P687" i="3" s="1"/>
  <c r="N686" i="3"/>
  <c r="N685" i="3" s="1"/>
  <c r="M686" i="3"/>
  <c r="P686" i="3" s="1"/>
  <c r="L686" i="3"/>
  <c r="O686" i="3" s="1"/>
  <c r="M685" i="3"/>
  <c r="P685" i="3" s="1"/>
  <c r="J679" i="3"/>
  <c r="J678" i="3" s="1"/>
  <c r="I678" i="3"/>
  <c r="K678" i="3" s="1"/>
  <c r="J675" i="3"/>
  <c r="J669" i="3" s="1"/>
  <c r="J654" i="3" s="1"/>
  <c r="I671" i="3"/>
  <c r="K671" i="3" s="1"/>
  <c r="I670" i="3"/>
  <c r="K670" i="3" s="1"/>
  <c r="I669" i="3"/>
  <c r="K673" i="3" s="1"/>
  <c r="P667" i="3"/>
  <c r="O667" i="3"/>
  <c r="P666" i="3"/>
  <c r="O666" i="3"/>
  <c r="N665" i="3"/>
  <c r="M665" i="3"/>
  <c r="P665" i="3" s="1"/>
  <c r="L665" i="3"/>
  <c r="O665" i="3" s="1"/>
  <c r="P660" i="3"/>
  <c r="N660" i="3"/>
  <c r="L660" i="3"/>
  <c r="O660" i="3" s="1"/>
  <c r="P659" i="3"/>
  <c r="O659" i="3"/>
  <c r="N658" i="3"/>
  <c r="M658" i="3"/>
  <c r="P658" i="3" s="1"/>
  <c r="P657" i="3"/>
  <c r="N657" i="3"/>
  <c r="M657" i="3"/>
  <c r="P656" i="3"/>
  <c r="O656" i="3"/>
  <c r="N656" i="3"/>
  <c r="M656" i="3"/>
  <c r="M655" i="3" s="1"/>
  <c r="P655" i="3" s="1"/>
  <c r="L656" i="3"/>
  <c r="N655" i="3"/>
  <c r="K652" i="3"/>
  <c r="J652" i="3"/>
  <c r="J651" i="3"/>
  <c r="J628" i="3" s="1"/>
  <c r="I651" i="3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P639" i="3"/>
  <c r="N639" i="3"/>
  <c r="M639" i="3"/>
  <c r="P634" i="3"/>
  <c r="N634" i="3"/>
  <c r="N632" i="3" s="1"/>
  <c r="L634" i="3"/>
  <c r="P633" i="3"/>
  <c r="O633" i="3"/>
  <c r="M632" i="3"/>
  <c r="P632" i="3" s="1"/>
  <c r="N631" i="3"/>
  <c r="N629" i="3" s="1"/>
  <c r="M631" i="3"/>
  <c r="P631" i="3" s="1"/>
  <c r="N630" i="3"/>
  <c r="M630" i="3"/>
  <c r="L630" i="3"/>
  <c r="O630" i="3" s="1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J593" i="3" s="1"/>
  <c r="J592" i="3" s="1"/>
  <c r="I594" i="3"/>
  <c r="K594" i="3" s="1"/>
  <c r="I593" i="3"/>
  <c r="J583" i="3"/>
  <c r="J582" i="3"/>
  <c r="J576" i="3" s="1"/>
  <c r="J559" i="3" s="1"/>
  <c r="J543" i="3" s="1"/>
  <c r="J577" i="3"/>
  <c r="I577" i="3"/>
  <c r="I576" i="3"/>
  <c r="J569" i="3"/>
  <c r="I569" i="3"/>
  <c r="K569" i="3" s="1"/>
  <c r="J568" i="3"/>
  <c r="I568" i="3"/>
  <c r="K568" i="3" s="1"/>
  <c r="J561" i="3"/>
  <c r="I561" i="3"/>
  <c r="J560" i="3"/>
  <c r="I560" i="3"/>
  <c r="K560" i="3" s="1"/>
  <c r="P557" i="3"/>
  <c r="L557" i="3"/>
  <c r="O557" i="3" s="1"/>
  <c r="P556" i="3"/>
  <c r="O556" i="3"/>
  <c r="N555" i="3"/>
  <c r="M555" i="3"/>
  <c r="N549" i="3"/>
  <c r="N547" i="3" s="1"/>
  <c r="L549" i="3"/>
  <c r="P548" i="3"/>
  <c r="O548" i="3"/>
  <c r="N546" i="3"/>
  <c r="O545" i="3"/>
  <c r="N545" i="3"/>
  <c r="L545" i="3"/>
  <c r="N544" i="3"/>
  <c r="I542" i="3"/>
  <c r="K542" i="3" s="1"/>
  <c r="I541" i="3"/>
  <c r="K541" i="3" s="1"/>
  <c r="I540" i="3"/>
  <c r="I539" i="3"/>
  <c r="K539" i="3" s="1"/>
  <c r="I538" i="3"/>
  <c r="K538" i="3" s="1"/>
  <c r="I537" i="3"/>
  <c r="I522" i="3" s="1"/>
  <c r="P535" i="3"/>
  <c r="L535" i="3"/>
  <c r="O535" i="3" s="1"/>
  <c r="P534" i="3"/>
  <c r="O534" i="3"/>
  <c r="P533" i="3"/>
  <c r="N533" i="3"/>
  <c r="M533" i="3"/>
  <c r="N528" i="3"/>
  <c r="N526" i="3" s="1"/>
  <c r="L528" i="3"/>
  <c r="M528" i="3" s="1"/>
  <c r="P528" i="3" s="1"/>
  <c r="P527" i="3"/>
  <c r="O527" i="3"/>
  <c r="N525" i="3"/>
  <c r="P524" i="3"/>
  <c r="O524" i="3"/>
  <c r="N524" i="3"/>
  <c r="M524" i="3"/>
  <c r="L524" i="3"/>
  <c r="N523" i="3"/>
  <c r="K517" i="3"/>
  <c r="J517" i="3"/>
  <c r="J501" i="3" s="1"/>
  <c r="K516" i="3"/>
  <c r="P514" i="3"/>
  <c r="O514" i="3"/>
  <c r="P513" i="3"/>
  <c r="O513" i="3"/>
  <c r="P512" i="3"/>
  <c r="N512" i="3"/>
  <c r="M512" i="3"/>
  <c r="L512" i="3"/>
  <c r="O512" i="3" s="1"/>
  <c r="P507" i="3"/>
  <c r="O507" i="3"/>
  <c r="N507" i="3"/>
  <c r="P506" i="3"/>
  <c r="O506" i="3"/>
  <c r="P505" i="3"/>
  <c r="O505" i="3"/>
  <c r="N505" i="3"/>
  <c r="M505" i="3"/>
  <c r="L505" i="3"/>
  <c r="O504" i="3"/>
  <c r="N504" i="3"/>
  <c r="M504" i="3"/>
  <c r="P504" i="3" s="1"/>
  <c r="L504" i="3"/>
  <c r="N503" i="3"/>
  <c r="M503" i="3"/>
  <c r="L503" i="3"/>
  <c r="O503" i="3" s="1"/>
  <c r="L502" i="3"/>
  <c r="O502" i="3" s="1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L477" i="3" s="1"/>
  <c r="O477" i="3" s="1"/>
  <c r="P478" i="3"/>
  <c r="O478" i="3"/>
  <c r="P477" i="3"/>
  <c r="N477" i="3"/>
  <c r="M477" i="3"/>
  <c r="N474" i="3"/>
  <c r="N472" i="3" s="1"/>
  <c r="L472" i="3"/>
  <c r="P471" i="3"/>
  <c r="O471" i="3"/>
  <c r="P468" i="3"/>
  <c r="O468" i="3"/>
  <c r="N468" i="3"/>
  <c r="M468" i="3"/>
  <c r="L468" i="3"/>
  <c r="J466" i="3"/>
  <c r="I466" i="3"/>
  <c r="K466" i="3" s="1"/>
  <c r="J465" i="3"/>
  <c r="I465" i="3"/>
  <c r="K465" i="3" s="1"/>
  <c r="I464" i="3"/>
  <c r="I463" i="3"/>
  <c r="I462" i="3"/>
  <c r="K462" i="3" s="1"/>
  <c r="I460" i="3"/>
  <c r="I442" i="3" s="1"/>
  <c r="K442" i="3" s="1"/>
  <c r="K458" i="3"/>
  <c r="P456" i="3"/>
  <c r="L456" i="3"/>
  <c r="O456" i="3" s="1"/>
  <c r="P455" i="3"/>
  <c r="O455" i="3"/>
  <c r="N454" i="3"/>
  <c r="M454" i="3"/>
  <c r="P454" i="3" s="1"/>
  <c r="N449" i="3"/>
  <c r="L449" i="3"/>
  <c r="P448" i="3"/>
  <c r="O448" i="3"/>
  <c r="N447" i="3"/>
  <c r="N446" i="3"/>
  <c r="P445" i="3"/>
  <c r="N445" i="3"/>
  <c r="M445" i="3"/>
  <c r="L445" i="3"/>
  <c r="N444" i="3"/>
  <c r="J443" i="3"/>
  <c r="J442" i="3"/>
  <c r="I441" i="3"/>
  <c r="K441" i="3" s="1"/>
  <c r="I440" i="3"/>
  <c r="K440" i="3" s="1"/>
  <c r="I439" i="3"/>
  <c r="K439" i="3" s="1"/>
  <c r="I438" i="3"/>
  <c r="I437" i="3"/>
  <c r="K437" i="3" s="1"/>
  <c r="I435" i="3"/>
  <c r="I433" i="3" s="1"/>
  <c r="I417" i="3" s="1"/>
  <c r="J434" i="3"/>
  <c r="J418" i="3" s="1"/>
  <c r="P431" i="3"/>
  <c r="L431" i="3"/>
  <c r="L429" i="3" s="1"/>
  <c r="O429" i="3" s="1"/>
  <c r="P430" i="3"/>
  <c r="O430" i="3"/>
  <c r="N429" i="3"/>
  <c r="M429" i="3"/>
  <c r="P429" i="3" s="1"/>
  <c r="N424" i="3"/>
  <c r="L424" i="3"/>
  <c r="M424" i="3" s="1"/>
  <c r="M422" i="3" s="1"/>
  <c r="P422" i="3" s="1"/>
  <c r="P423" i="3"/>
  <c r="O423" i="3"/>
  <c r="N422" i="3"/>
  <c r="N421" i="3"/>
  <c r="N419" i="3" s="1"/>
  <c r="N420" i="3"/>
  <c r="M420" i="3"/>
  <c r="L420" i="3"/>
  <c r="K413" i="3"/>
  <c r="K412" i="3"/>
  <c r="N410" i="3"/>
  <c r="N408" i="3" s="1"/>
  <c r="M410" i="3"/>
  <c r="P410" i="3" s="1"/>
  <c r="L410" i="3"/>
  <c r="P409" i="3"/>
  <c r="O409" i="3"/>
  <c r="N407" i="3"/>
  <c r="M407" i="3"/>
  <c r="M405" i="3" s="1"/>
  <c r="P405" i="3" s="1"/>
  <c r="L407" i="3"/>
  <c r="O407" i="3" s="1"/>
  <c r="P406" i="3"/>
  <c r="O406" i="3"/>
  <c r="P403" i="3"/>
  <c r="O403" i="3"/>
  <c r="N403" i="3"/>
  <c r="M403" i="3"/>
  <c r="L403" i="3"/>
  <c r="J401" i="3"/>
  <c r="I401" i="3"/>
  <c r="K401" i="3" s="1"/>
  <c r="K400" i="3"/>
  <c r="K399" i="3"/>
  <c r="N397" i="3"/>
  <c r="M397" i="3"/>
  <c r="P397" i="3" s="1"/>
  <c r="L397" i="3"/>
  <c r="P396" i="3"/>
  <c r="O396" i="3"/>
  <c r="N394" i="3"/>
  <c r="N392" i="3" s="1"/>
  <c r="M394" i="3"/>
  <c r="L394" i="3"/>
  <c r="P393" i="3"/>
  <c r="O393" i="3"/>
  <c r="N390" i="3"/>
  <c r="M390" i="3"/>
  <c r="L390" i="3"/>
  <c r="K388" i="3"/>
  <c r="J388" i="3"/>
  <c r="I388" i="3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L353" i="3"/>
  <c r="P352" i="3"/>
  <c r="O352" i="3"/>
  <c r="N350" i="3"/>
  <c r="M350" i="3"/>
  <c r="M348" i="3" s="1"/>
  <c r="L350" i="3"/>
  <c r="P349" i="3"/>
  <c r="O349" i="3"/>
  <c r="N346" i="3"/>
  <c r="M346" i="3"/>
  <c r="P346" i="3" s="1"/>
  <c r="L346" i="3"/>
  <c r="O346" i="3" s="1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O336" i="3" s="1"/>
  <c r="P335" i="3"/>
  <c r="O335" i="3"/>
  <c r="N333" i="3"/>
  <c r="N331" i="3" s="1"/>
  <c r="M333" i="3"/>
  <c r="M331" i="3" s="1"/>
  <c r="L333" i="3"/>
  <c r="P332" i="3"/>
  <c r="O332" i="3"/>
  <c r="N329" i="3"/>
  <c r="M329" i="3"/>
  <c r="P329" i="3" s="1"/>
  <c r="L329" i="3"/>
  <c r="O329" i="3" s="1"/>
  <c r="I327" i="3"/>
  <c r="I325" i="3"/>
  <c r="K325" i="3" s="1"/>
  <c r="N323" i="3"/>
  <c r="M323" i="3"/>
  <c r="M321" i="3" s="1"/>
  <c r="P321" i="3" s="1"/>
  <c r="L323" i="3"/>
  <c r="O323" i="3" s="1"/>
  <c r="P322" i="3"/>
  <c r="O322" i="3"/>
  <c r="N320" i="3"/>
  <c r="N318" i="3" s="1"/>
  <c r="M320" i="3"/>
  <c r="L320" i="3"/>
  <c r="L318" i="3" s="1"/>
  <c r="P319" i="3"/>
  <c r="O319" i="3"/>
  <c r="P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P306" i="3" s="1"/>
  <c r="L306" i="3"/>
  <c r="L304" i="3" s="1"/>
  <c r="O304" i="3" s="1"/>
  <c r="P305" i="3"/>
  <c r="O305" i="3"/>
  <c r="N303" i="3"/>
  <c r="M303" i="3"/>
  <c r="M301" i="3" s="1"/>
  <c r="L303" i="3"/>
  <c r="P302" i="3"/>
  <c r="O302" i="3"/>
  <c r="P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87" i="3"/>
  <c r="K287" i="3" s="1"/>
  <c r="N285" i="3"/>
  <c r="M285" i="3"/>
  <c r="P285" i="3" s="1"/>
  <c r="L285" i="3"/>
  <c r="P284" i="3"/>
  <c r="O284" i="3"/>
  <c r="N282" i="3"/>
  <c r="N280" i="3" s="1"/>
  <c r="M282" i="3"/>
  <c r="L282" i="3"/>
  <c r="P281" i="3"/>
  <c r="O281" i="3"/>
  <c r="N278" i="3"/>
  <c r="M278" i="3"/>
  <c r="L278" i="3"/>
  <c r="O278" i="3" s="1"/>
  <c r="J276" i="3"/>
  <c r="I271" i="3"/>
  <c r="N269" i="3"/>
  <c r="N267" i="3" s="1"/>
  <c r="M269" i="3"/>
  <c r="L269" i="3"/>
  <c r="P268" i="3"/>
  <c r="O268" i="3"/>
  <c r="N266" i="3"/>
  <c r="N264" i="3" s="1"/>
  <c r="M266" i="3"/>
  <c r="L266" i="3"/>
  <c r="L264" i="3" s="1"/>
  <c r="P265" i="3"/>
  <c r="O265" i="3"/>
  <c r="P262" i="3"/>
  <c r="N262" i="3"/>
  <c r="M262" i="3"/>
  <c r="L262" i="3"/>
  <c r="J260" i="3"/>
  <c r="K258" i="3"/>
  <c r="K257" i="3"/>
  <c r="I255" i="3"/>
  <c r="L253" i="3"/>
  <c r="L252" i="3"/>
  <c r="L251" i="3"/>
  <c r="L250" i="3"/>
  <c r="P249" i="3"/>
  <c r="N249" i="3"/>
  <c r="J248" i="3"/>
  <c r="K247" i="3"/>
  <c r="K246" i="3"/>
  <c r="I244" i="3"/>
  <c r="L242" i="3"/>
  <c r="L241" i="3"/>
  <c r="L240" i="3"/>
  <c r="L239" i="3"/>
  <c r="P238" i="3"/>
  <c r="N238" i="3"/>
  <c r="J237" i="3"/>
  <c r="J226" i="3" s="1"/>
  <c r="J180" i="3" s="1"/>
  <c r="J236" i="3"/>
  <c r="I236" i="3"/>
  <c r="K236" i="3" s="1"/>
  <c r="J235" i="3"/>
  <c r="I235" i="3"/>
  <c r="K235" i="3" s="1"/>
  <c r="J233" i="3"/>
  <c r="N231" i="3"/>
  <c r="N230" i="3"/>
  <c r="N229" i="3"/>
  <c r="N228" i="3"/>
  <c r="N227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M189" i="3"/>
  <c r="P189" i="3" s="1"/>
  <c r="L189" i="3"/>
  <c r="L187" i="3" s="1"/>
  <c r="O187" i="3" s="1"/>
  <c r="P188" i="3"/>
  <c r="O188" i="3"/>
  <c r="N186" i="3"/>
  <c r="N184" i="3" s="1"/>
  <c r="M186" i="3"/>
  <c r="L186" i="3"/>
  <c r="P185" i="3"/>
  <c r="O185" i="3"/>
  <c r="P182" i="3"/>
  <c r="O182" i="3"/>
  <c r="N182" i="3"/>
  <c r="M182" i="3"/>
  <c r="L182" i="3"/>
  <c r="J177" i="3"/>
  <c r="I176" i="3"/>
  <c r="K176" i="3" s="1"/>
  <c r="J174" i="3"/>
  <c r="N173" i="3"/>
  <c r="M173" i="3"/>
  <c r="P173" i="3" s="1"/>
  <c r="L173" i="3"/>
  <c r="P172" i="3"/>
  <c r="O172" i="3"/>
  <c r="N170" i="3"/>
  <c r="N168" i="3" s="1"/>
  <c r="M170" i="3"/>
  <c r="P170" i="3" s="1"/>
  <c r="L170" i="3"/>
  <c r="O170" i="3" s="1"/>
  <c r="P169" i="3"/>
  <c r="O169" i="3"/>
  <c r="P166" i="3"/>
  <c r="N166" i="3"/>
  <c r="M166" i="3"/>
  <c r="L166" i="3"/>
  <c r="J164" i="3"/>
  <c r="I159" i="3"/>
  <c r="K159" i="3" s="1"/>
  <c r="N157" i="3"/>
  <c r="N155" i="3" s="1"/>
  <c r="M157" i="3"/>
  <c r="M155" i="3" s="1"/>
  <c r="P155" i="3" s="1"/>
  <c r="L157" i="3"/>
  <c r="P156" i="3"/>
  <c r="O156" i="3"/>
  <c r="N154" i="3"/>
  <c r="M154" i="3"/>
  <c r="M152" i="3" s="1"/>
  <c r="L154" i="3"/>
  <c r="L152" i="3" s="1"/>
  <c r="P153" i="3"/>
  <c r="O153" i="3"/>
  <c r="P150" i="3"/>
  <c r="N150" i="3"/>
  <c r="M150" i="3"/>
  <c r="L150" i="3"/>
  <c r="O150" i="3" s="1"/>
  <c r="J148" i="3"/>
  <c r="I146" i="3"/>
  <c r="K146" i="3" s="1"/>
  <c r="I145" i="3"/>
  <c r="I144" i="3"/>
  <c r="K144" i="3" s="1"/>
  <c r="N140" i="3"/>
  <c r="N138" i="3" s="1"/>
  <c r="M140" i="3"/>
  <c r="L140" i="3"/>
  <c r="P139" i="3"/>
  <c r="O139" i="3"/>
  <c r="N137" i="3"/>
  <c r="M137" i="3"/>
  <c r="M135" i="3" s="1"/>
  <c r="L137" i="3"/>
  <c r="P136" i="3"/>
  <c r="O136" i="3"/>
  <c r="O133" i="3"/>
  <c r="N133" i="3"/>
  <c r="M133" i="3"/>
  <c r="L133" i="3"/>
  <c r="J130" i="3"/>
  <c r="N127" i="3"/>
  <c r="N125" i="3" s="1"/>
  <c r="M127" i="3"/>
  <c r="P127" i="3" s="1"/>
  <c r="L127" i="3"/>
  <c r="O127" i="3" s="1"/>
  <c r="P126" i="3"/>
  <c r="O126" i="3"/>
  <c r="N124" i="3"/>
  <c r="N122" i="3" s="1"/>
  <c r="M124" i="3"/>
  <c r="L124" i="3"/>
  <c r="O124" i="3" s="1"/>
  <c r="P123" i="3"/>
  <c r="O123" i="3"/>
  <c r="N120" i="3"/>
  <c r="M120" i="3"/>
  <c r="P120" i="3" s="1"/>
  <c r="L120" i="3"/>
  <c r="O120" i="3" s="1"/>
  <c r="K118" i="3"/>
  <c r="J118" i="3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I99" i="3"/>
  <c r="K99" i="3" s="1"/>
  <c r="J98" i="3"/>
  <c r="I98" i="3"/>
  <c r="N96" i="3"/>
  <c r="N94" i="3" s="1"/>
  <c r="M96" i="3"/>
  <c r="L96" i="3"/>
  <c r="O96" i="3" s="1"/>
  <c r="P95" i="3"/>
  <c r="O95" i="3"/>
  <c r="N93" i="3"/>
  <c r="N91" i="3" s="1"/>
  <c r="M93" i="3"/>
  <c r="L93" i="3"/>
  <c r="L91" i="3" s="1"/>
  <c r="P92" i="3"/>
  <c r="O92" i="3"/>
  <c r="P89" i="3"/>
  <c r="N89" i="3"/>
  <c r="M89" i="3"/>
  <c r="L89" i="3"/>
  <c r="J87" i="3"/>
  <c r="J86" i="3"/>
  <c r="I84" i="3"/>
  <c r="K84" i="3" s="1"/>
  <c r="I83" i="3"/>
  <c r="K83" i="3" s="1"/>
  <c r="I82" i="3"/>
  <c r="K82" i="3" s="1"/>
  <c r="I81" i="3"/>
  <c r="I80" i="3"/>
  <c r="K80" i="3" s="1"/>
  <c r="I79" i="3"/>
  <c r="K79" i="3" s="1"/>
  <c r="I78" i="3"/>
  <c r="J77" i="3"/>
  <c r="J76" i="3"/>
  <c r="J64" i="3" s="1"/>
  <c r="N74" i="3"/>
  <c r="N72" i="3" s="1"/>
  <c r="M74" i="3"/>
  <c r="P74" i="3" s="1"/>
  <c r="L74" i="3"/>
  <c r="O74" i="3" s="1"/>
  <c r="P73" i="3"/>
  <c r="O73" i="3"/>
  <c r="N71" i="3"/>
  <c r="M71" i="3"/>
  <c r="M69" i="3" s="1"/>
  <c r="L71" i="3"/>
  <c r="P70" i="3"/>
  <c r="O70" i="3"/>
  <c r="P67" i="3"/>
  <c r="O67" i="3"/>
  <c r="N67" i="3"/>
  <c r="M67" i="3"/>
  <c r="L67" i="3"/>
  <c r="J65" i="3"/>
  <c r="N61" i="3"/>
  <c r="N59" i="3" s="1"/>
  <c r="M61" i="3"/>
  <c r="M59" i="3" s="1"/>
  <c r="L61" i="3"/>
  <c r="L59" i="3" s="1"/>
  <c r="P60" i="3"/>
  <c r="O60" i="3"/>
  <c r="N58" i="3"/>
  <c r="N56" i="3" s="1"/>
  <c r="M58" i="3"/>
  <c r="L58" i="3"/>
  <c r="L56" i="3" s="1"/>
  <c r="P57" i="3"/>
  <c r="O57" i="3"/>
  <c r="N54" i="3"/>
  <c r="M54" i="3"/>
  <c r="P54" i="3" s="1"/>
  <c r="L54" i="3"/>
  <c r="O54" i="3" s="1"/>
  <c r="N49" i="3"/>
  <c r="M49" i="3"/>
  <c r="L49" i="3"/>
  <c r="P48" i="3"/>
  <c r="O48" i="3"/>
  <c r="N46" i="3"/>
  <c r="M46" i="3"/>
  <c r="M44" i="3" s="1"/>
  <c r="L46" i="3"/>
  <c r="L44" i="3" s="1"/>
  <c r="P45" i="3"/>
  <c r="O45" i="3"/>
  <c r="P42" i="3"/>
  <c r="O42" i="3"/>
  <c r="N42" i="3"/>
  <c r="M42" i="3"/>
  <c r="L42" i="3"/>
  <c r="N36" i="3"/>
  <c r="N34" i="3" s="1"/>
  <c r="M36" i="3"/>
  <c r="P36" i="3" s="1"/>
  <c r="N35" i="3"/>
  <c r="M35" i="3"/>
  <c r="L35" i="3"/>
  <c r="O35" i="3" s="1"/>
  <c r="P32" i="3"/>
  <c r="O32" i="3"/>
  <c r="N32" i="3"/>
  <c r="N29" i="3" s="1"/>
  <c r="M32" i="3"/>
  <c r="L32" i="3"/>
  <c r="M29" i="3"/>
  <c r="P25" i="3"/>
  <c r="O25" i="3"/>
  <c r="N25" i="3"/>
  <c r="N15" i="3" s="1"/>
  <c r="M25" i="3"/>
  <c r="L25" i="3"/>
  <c r="N22" i="3"/>
  <c r="M22" i="3"/>
  <c r="L22" i="3"/>
  <c r="N19" i="3"/>
  <c r="M15" i="3"/>
  <c r="N12" i="3"/>
  <c r="J828" i="2"/>
  <c r="I828" i="2"/>
  <c r="J827" i="2"/>
  <c r="I827" i="2"/>
  <c r="J826" i="2"/>
  <c r="I826" i="2"/>
  <c r="K826" i="2" s="1"/>
  <c r="J825" i="2"/>
  <c r="I825" i="2"/>
  <c r="K825" i="2" s="1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N815" i="2"/>
  <c r="M815" i="2"/>
  <c r="P815" i="2" s="1"/>
  <c r="L815" i="2"/>
  <c r="O815" i="2" s="1"/>
  <c r="P810" i="2"/>
  <c r="O810" i="2"/>
  <c r="N810" i="2"/>
  <c r="N807" i="2" s="1"/>
  <c r="P809" i="2"/>
  <c r="O809" i="2"/>
  <c r="P808" i="2"/>
  <c r="M808" i="2"/>
  <c r="L808" i="2"/>
  <c r="O808" i="2" s="1"/>
  <c r="P807" i="2"/>
  <c r="O807" i="2"/>
  <c r="M807" i="2"/>
  <c r="L807" i="2"/>
  <c r="P806" i="2"/>
  <c r="O806" i="2"/>
  <c r="N806" i="2"/>
  <c r="N805" i="2" s="1"/>
  <c r="M806" i="2"/>
  <c r="L806" i="2"/>
  <c r="L805" i="2" s="1"/>
  <c r="O805" i="2" s="1"/>
  <c r="M805" i="2"/>
  <c r="P805" i="2" s="1"/>
  <c r="K804" i="2"/>
  <c r="J804" i="2"/>
  <c r="K802" i="2"/>
  <c r="J801" i="2"/>
  <c r="J800" i="2"/>
  <c r="J785" i="2" s="1"/>
  <c r="I800" i="2"/>
  <c r="P798" i="2"/>
  <c r="O798" i="2"/>
  <c r="P797" i="2"/>
  <c r="O797" i="2"/>
  <c r="N796" i="2"/>
  <c r="M796" i="2"/>
  <c r="P796" i="2" s="1"/>
  <c r="L796" i="2"/>
  <c r="O796" i="2" s="1"/>
  <c r="P791" i="2"/>
  <c r="N791" i="2"/>
  <c r="N788" i="2" s="1"/>
  <c r="N786" i="2" s="1"/>
  <c r="L791" i="2"/>
  <c r="O791" i="2" s="1"/>
  <c r="P790" i="2"/>
  <c r="O790" i="2"/>
  <c r="P789" i="2"/>
  <c r="N789" i="2"/>
  <c r="M789" i="2"/>
  <c r="L789" i="2"/>
  <c r="O789" i="2" s="1"/>
  <c r="P788" i="2"/>
  <c r="M788" i="2"/>
  <c r="P787" i="2"/>
  <c r="O787" i="2"/>
  <c r="N787" i="2"/>
  <c r="M787" i="2"/>
  <c r="L787" i="2"/>
  <c r="M786" i="2"/>
  <c r="P786" i="2" s="1"/>
  <c r="P782" i="2"/>
  <c r="O782" i="2"/>
  <c r="P781" i="2"/>
  <c r="O781" i="2"/>
  <c r="O780" i="2"/>
  <c r="N780" i="2"/>
  <c r="M780" i="2"/>
  <c r="P780" i="2" s="1"/>
  <c r="L780" i="2"/>
  <c r="P775" i="2"/>
  <c r="O775" i="2"/>
  <c r="N775" i="2"/>
  <c r="N773" i="2" s="1"/>
  <c r="P774" i="2"/>
  <c r="O774" i="2"/>
  <c r="M773" i="2"/>
  <c r="P773" i="2" s="1"/>
  <c r="L773" i="2"/>
  <c r="O773" i="2" s="1"/>
  <c r="P772" i="2"/>
  <c r="M772" i="2"/>
  <c r="L772" i="2"/>
  <c r="O772" i="2" s="1"/>
  <c r="P771" i="2"/>
  <c r="O771" i="2"/>
  <c r="N771" i="2"/>
  <c r="M771" i="2"/>
  <c r="M770" i="2" s="1"/>
  <c r="P770" i="2" s="1"/>
  <c r="L771" i="2"/>
  <c r="L770" i="2" s="1"/>
  <c r="O770" i="2" s="1"/>
  <c r="K769" i="2"/>
  <c r="J769" i="2"/>
  <c r="P766" i="2"/>
  <c r="O766" i="2"/>
  <c r="P765" i="2"/>
  <c r="O765" i="2"/>
  <c r="O764" i="2"/>
  <c r="N764" i="2"/>
  <c r="M764" i="2"/>
  <c r="P764" i="2" s="1"/>
  <c r="L764" i="2"/>
  <c r="P759" i="2"/>
  <c r="O759" i="2"/>
  <c r="N759" i="2"/>
  <c r="N757" i="2" s="1"/>
  <c r="P758" i="2"/>
  <c r="O758" i="2"/>
  <c r="M757" i="2"/>
  <c r="P757" i="2" s="1"/>
  <c r="L757" i="2"/>
  <c r="O757" i="2" s="1"/>
  <c r="P756" i="2"/>
  <c r="M756" i="2"/>
  <c r="L756" i="2"/>
  <c r="O756" i="2" s="1"/>
  <c r="P755" i="2"/>
  <c r="O755" i="2"/>
  <c r="N755" i="2"/>
  <c r="M755" i="2"/>
  <c r="M754" i="2" s="1"/>
  <c r="P754" i="2" s="1"/>
  <c r="L755" i="2"/>
  <c r="L754" i="2" s="1"/>
  <c r="O754" i="2" s="1"/>
  <c r="K753" i="2"/>
  <c r="J753" i="2"/>
  <c r="P749" i="2"/>
  <c r="O749" i="2"/>
  <c r="P748" i="2"/>
  <c r="O748" i="2"/>
  <c r="O747" i="2"/>
  <c r="N747" i="2"/>
  <c r="M747" i="2"/>
  <c r="P747" i="2" s="1"/>
  <c r="L747" i="2"/>
  <c r="P742" i="2"/>
  <c r="O742" i="2"/>
  <c r="N742" i="2"/>
  <c r="N740" i="2" s="1"/>
  <c r="P741" i="2"/>
  <c r="O741" i="2"/>
  <c r="M740" i="2"/>
  <c r="P740" i="2" s="1"/>
  <c r="L740" i="2"/>
  <c r="O740" i="2" s="1"/>
  <c r="P739" i="2"/>
  <c r="M739" i="2"/>
  <c r="M737" i="2" s="1"/>
  <c r="P737" i="2" s="1"/>
  <c r="L739" i="2"/>
  <c r="O739" i="2" s="1"/>
  <c r="P738" i="2"/>
  <c r="O738" i="2"/>
  <c r="N738" i="2"/>
  <c r="M738" i="2"/>
  <c r="L738" i="2"/>
  <c r="L737" i="2" s="1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K725" i="2" s="1"/>
  <c r="J724" i="2"/>
  <c r="J723" i="2"/>
  <c r="I723" i="2"/>
  <c r="K723" i="2" s="1"/>
  <c r="I722" i="2"/>
  <c r="K722" i="2" s="1"/>
  <c r="I721" i="2"/>
  <c r="K721" i="2" s="1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O695" i="2"/>
  <c r="N695" i="2"/>
  <c r="M695" i="2"/>
  <c r="P695" i="2" s="1"/>
  <c r="L695" i="2"/>
  <c r="P690" i="2"/>
  <c r="N690" i="2"/>
  <c r="N687" i="2" s="1"/>
  <c r="L690" i="2"/>
  <c r="P688" i="2"/>
  <c r="M688" i="2"/>
  <c r="P687" i="2"/>
  <c r="M687" i="2"/>
  <c r="P686" i="2"/>
  <c r="O686" i="2"/>
  <c r="N686" i="2"/>
  <c r="N685" i="2" s="1"/>
  <c r="M686" i="2"/>
  <c r="L686" i="2"/>
  <c r="M685" i="2"/>
  <c r="P685" i="2" s="1"/>
  <c r="J679" i="2"/>
  <c r="J678" i="2"/>
  <c r="I678" i="2"/>
  <c r="K678" i="2" s="1"/>
  <c r="J675" i="2"/>
  <c r="I671" i="2"/>
  <c r="K671" i="2" s="1"/>
  <c r="I670" i="2"/>
  <c r="K670" i="2" s="1"/>
  <c r="J669" i="2"/>
  <c r="I669" i="2"/>
  <c r="K673" i="2" s="1"/>
  <c r="P667" i="2"/>
  <c r="O667" i="2"/>
  <c r="P666" i="2"/>
  <c r="O666" i="2"/>
  <c r="P665" i="2"/>
  <c r="O665" i="2"/>
  <c r="N665" i="2"/>
  <c r="M665" i="2"/>
  <c r="L665" i="2"/>
  <c r="P660" i="2"/>
  <c r="N660" i="2"/>
  <c r="L660" i="2"/>
  <c r="P659" i="2"/>
  <c r="O659" i="2"/>
  <c r="N658" i="2"/>
  <c r="M658" i="2"/>
  <c r="P658" i="2" s="1"/>
  <c r="N657" i="2"/>
  <c r="M657" i="2"/>
  <c r="P657" i="2" s="1"/>
  <c r="N656" i="2"/>
  <c r="N655" i="2" s="1"/>
  <c r="M656" i="2"/>
  <c r="M655" i="2" s="1"/>
  <c r="P655" i="2" s="1"/>
  <c r="L656" i="2"/>
  <c r="O656" i="2" s="1"/>
  <c r="J654" i="2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P639" i="2"/>
  <c r="N639" i="2"/>
  <c r="M639" i="2"/>
  <c r="N634" i="2"/>
  <c r="N632" i="2" s="1"/>
  <c r="L634" i="2"/>
  <c r="P633" i="2"/>
  <c r="O633" i="2"/>
  <c r="N631" i="2"/>
  <c r="P630" i="2"/>
  <c r="O630" i="2"/>
  <c r="N630" i="2"/>
  <c r="N629" i="2" s="1"/>
  <c r="M630" i="2"/>
  <c r="L630" i="2"/>
  <c r="J621" i="2"/>
  <c r="I621" i="2"/>
  <c r="J620" i="2"/>
  <c r="I620" i="2"/>
  <c r="K620" i="2" s="1"/>
  <c r="K613" i="2"/>
  <c r="J613" i="2"/>
  <c r="K612" i="2"/>
  <c r="J612" i="2"/>
  <c r="K611" i="2"/>
  <c r="J611" i="2"/>
  <c r="J604" i="2"/>
  <c r="J603" i="2"/>
  <c r="J593" i="2" s="1"/>
  <c r="J596" i="2"/>
  <c r="J595" i="2"/>
  <c r="J594" i="2"/>
  <c r="I594" i="2"/>
  <c r="K594" i="2" s="1"/>
  <c r="I593" i="2"/>
  <c r="I592" i="2" s="1"/>
  <c r="J583" i="2"/>
  <c r="J577" i="2" s="1"/>
  <c r="J582" i="2"/>
  <c r="I577" i="2"/>
  <c r="K577" i="2" s="1"/>
  <c r="J576" i="2"/>
  <c r="J559" i="2" s="1"/>
  <c r="J543" i="2" s="1"/>
  <c r="I576" i="2"/>
  <c r="I559" i="2" s="1"/>
  <c r="J569" i="2"/>
  <c r="I569" i="2"/>
  <c r="K569" i="2" s="1"/>
  <c r="J568" i="2"/>
  <c r="I568" i="2"/>
  <c r="J561" i="2"/>
  <c r="I561" i="2"/>
  <c r="K561" i="2" s="1"/>
  <c r="J560" i="2"/>
  <c r="I560" i="2"/>
  <c r="P557" i="2"/>
  <c r="L557" i="2"/>
  <c r="P556" i="2"/>
  <c r="O556" i="2"/>
  <c r="P555" i="2"/>
  <c r="N555" i="2"/>
  <c r="M555" i="2"/>
  <c r="N549" i="2"/>
  <c r="L549" i="2"/>
  <c r="L547" i="2" s="1"/>
  <c r="O547" i="2" s="1"/>
  <c r="P548" i="2"/>
  <c r="O548" i="2"/>
  <c r="N547" i="2"/>
  <c r="N546" i="2"/>
  <c r="N545" i="2"/>
  <c r="N544" i="2" s="1"/>
  <c r="M545" i="2"/>
  <c r="P545" i="2" s="1"/>
  <c r="L545" i="2"/>
  <c r="O545" i="2" s="1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P535" i="2"/>
  <c r="L535" i="2"/>
  <c r="O535" i="2" s="1"/>
  <c r="P534" i="2"/>
  <c r="O534" i="2"/>
  <c r="N533" i="2"/>
  <c r="M533" i="2"/>
  <c r="P533" i="2" s="1"/>
  <c r="N528" i="2"/>
  <c r="N526" i="2" s="1"/>
  <c r="L528" i="2"/>
  <c r="O528" i="2" s="1"/>
  <c r="P527" i="2"/>
  <c r="O527" i="2"/>
  <c r="N525" i="2"/>
  <c r="N524" i="2"/>
  <c r="N523" i="2" s="1"/>
  <c r="M524" i="2"/>
  <c r="L524" i="2"/>
  <c r="O524" i="2" s="1"/>
  <c r="K517" i="2"/>
  <c r="J517" i="2"/>
  <c r="K516" i="2"/>
  <c r="P514" i="2"/>
  <c r="O514" i="2"/>
  <c r="P513" i="2"/>
  <c r="O513" i="2"/>
  <c r="O512" i="2"/>
  <c r="N512" i="2"/>
  <c r="M512" i="2"/>
  <c r="P512" i="2" s="1"/>
  <c r="L512" i="2"/>
  <c r="P507" i="2"/>
  <c r="O507" i="2"/>
  <c r="N507" i="2"/>
  <c r="N505" i="2" s="1"/>
  <c r="P506" i="2"/>
  <c r="O506" i="2"/>
  <c r="M505" i="2"/>
  <c r="P505" i="2" s="1"/>
  <c r="L505" i="2"/>
  <c r="O505" i="2" s="1"/>
  <c r="P504" i="2"/>
  <c r="M504" i="2"/>
  <c r="M502" i="2" s="1"/>
  <c r="P502" i="2" s="1"/>
  <c r="L504" i="2"/>
  <c r="O504" i="2" s="1"/>
  <c r="P503" i="2"/>
  <c r="O503" i="2"/>
  <c r="N503" i="2"/>
  <c r="M503" i="2"/>
  <c r="L503" i="2"/>
  <c r="L502" i="2" s="1"/>
  <c r="O502" i="2" s="1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N477" i="2"/>
  <c r="M477" i="2"/>
  <c r="P477" i="2" s="1"/>
  <c r="N472" i="2"/>
  <c r="L472" i="2"/>
  <c r="O472" i="2" s="1"/>
  <c r="P471" i="2"/>
  <c r="O471" i="2"/>
  <c r="N470" i="2"/>
  <c r="N469" i="2"/>
  <c r="N467" i="2" s="1"/>
  <c r="P468" i="2"/>
  <c r="N468" i="2"/>
  <c r="M468" i="2"/>
  <c r="L468" i="2"/>
  <c r="J466" i="2"/>
  <c r="I466" i="2"/>
  <c r="K466" i="2" s="1"/>
  <c r="J465" i="2"/>
  <c r="I465" i="2"/>
  <c r="K465" i="2" s="1"/>
  <c r="I464" i="2"/>
  <c r="I463" i="2"/>
  <c r="I462" i="2"/>
  <c r="K462" i="2" s="1"/>
  <c r="I460" i="2"/>
  <c r="K458" i="2"/>
  <c r="P456" i="2"/>
  <c r="L456" i="2"/>
  <c r="L454" i="2" s="1"/>
  <c r="O454" i="2" s="1"/>
  <c r="P455" i="2"/>
  <c r="O455" i="2"/>
  <c r="P454" i="2"/>
  <c r="N454" i="2"/>
  <c r="M454" i="2"/>
  <c r="P449" i="2"/>
  <c r="N449" i="2"/>
  <c r="L449" i="2"/>
  <c r="L447" i="2" s="1"/>
  <c r="O447" i="2" s="1"/>
  <c r="P448" i="2"/>
  <c r="O448" i="2"/>
  <c r="N447" i="2"/>
  <c r="M447" i="2"/>
  <c r="P447" i="2" s="1"/>
  <c r="N446" i="2"/>
  <c r="M446" i="2"/>
  <c r="P446" i="2" s="1"/>
  <c r="N445" i="2"/>
  <c r="N444" i="2" s="1"/>
  <c r="M445" i="2"/>
  <c r="L445" i="2"/>
  <c r="O445" i="2" s="1"/>
  <c r="J443" i="2"/>
  <c r="J442" i="2"/>
  <c r="I441" i="2"/>
  <c r="K441" i="2" s="1"/>
  <c r="I440" i="2"/>
  <c r="K440" i="2" s="1"/>
  <c r="I439" i="2"/>
  <c r="K439" i="2" s="1"/>
  <c r="I438" i="2"/>
  <c r="I437" i="2"/>
  <c r="K437" i="2" s="1"/>
  <c r="I435" i="2"/>
  <c r="I433" i="2" s="1"/>
  <c r="J434" i="2"/>
  <c r="J418" i="2" s="1"/>
  <c r="P431" i="2"/>
  <c r="L431" i="2"/>
  <c r="O431" i="2" s="1"/>
  <c r="P430" i="2"/>
  <c r="O430" i="2"/>
  <c r="P429" i="2"/>
  <c r="N429" i="2"/>
  <c r="M429" i="2"/>
  <c r="N424" i="2"/>
  <c r="L424" i="2"/>
  <c r="P423" i="2"/>
  <c r="O423" i="2"/>
  <c r="N422" i="2"/>
  <c r="N421" i="2"/>
  <c r="N420" i="2"/>
  <c r="M420" i="2"/>
  <c r="P420" i="2" s="1"/>
  <c r="L420" i="2"/>
  <c r="O420" i="2" s="1"/>
  <c r="N419" i="2"/>
  <c r="K413" i="2"/>
  <c r="K412" i="2"/>
  <c r="N410" i="2"/>
  <c r="N408" i="2" s="1"/>
  <c r="M410" i="2"/>
  <c r="M408" i="2" s="1"/>
  <c r="L410" i="2"/>
  <c r="L408" i="2" s="1"/>
  <c r="P409" i="2"/>
  <c r="O409" i="2"/>
  <c r="N407" i="2"/>
  <c r="M407" i="2"/>
  <c r="L407" i="2"/>
  <c r="O407" i="2" s="1"/>
  <c r="P406" i="2"/>
  <c r="O406" i="2"/>
  <c r="N403" i="2"/>
  <c r="M403" i="2"/>
  <c r="L403" i="2"/>
  <c r="J401" i="2"/>
  <c r="I401" i="2"/>
  <c r="K401" i="2" s="1"/>
  <c r="K400" i="2"/>
  <c r="K399" i="2"/>
  <c r="N397" i="2"/>
  <c r="N395" i="2" s="1"/>
  <c r="M397" i="2"/>
  <c r="L397" i="2"/>
  <c r="L395" i="2" s="1"/>
  <c r="P396" i="2"/>
  <c r="O396" i="2"/>
  <c r="N394" i="2"/>
  <c r="M394" i="2"/>
  <c r="M392" i="2" s="1"/>
  <c r="P392" i="2" s="1"/>
  <c r="L394" i="2"/>
  <c r="O394" i="2" s="1"/>
  <c r="P393" i="2"/>
  <c r="O393" i="2"/>
  <c r="O390" i="2"/>
  <c r="N390" i="2"/>
  <c r="M390" i="2"/>
  <c r="P390" i="2" s="1"/>
  <c r="L390" i="2"/>
  <c r="K388" i="2"/>
  <c r="J388" i="2"/>
  <c r="I388" i="2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M353" i="2"/>
  <c r="L353" i="2"/>
  <c r="L351" i="2" s="1"/>
  <c r="P352" i="2"/>
  <c r="O352" i="2"/>
  <c r="N350" i="2"/>
  <c r="M350" i="2"/>
  <c r="L350" i="2"/>
  <c r="P349" i="2"/>
  <c r="O349" i="2"/>
  <c r="O346" i="2"/>
  <c r="N346" i="2"/>
  <c r="M346" i="2"/>
  <c r="P346" i="2" s="1"/>
  <c r="L346" i="2"/>
  <c r="J343" i="2"/>
  <c r="J342" i="2"/>
  <c r="J341" i="2"/>
  <c r="J340" i="2"/>
  <c r="I340" i="2"/>
  <c r="J338" i="2"/>
  <c r="I338" i="2"/>
  <c r="N336" i="2"/>
  <c r="N334" i="2" s="1"/>
  <c r="M336" i="2"/>
  <c r="L336" i="2"/>
  <c r="O336" i="2" s="1"/>
  <c r="P335" i="2"/>
  <c r="O335" i="2"/>
  <c r="N333" i="2"/>
  <c r="N331" i="2" s="1"/>
  <c r="M333" i="2"/>
  <c r="L333" i="2"/>
  <c r="L331" i="2" s="1"/>
  <c r="P332" i="2"/>
  <c r="O332" i="2"/>
  <c r="O329" i="2"/>
  <c r="N329" i="2"/>
  <c r="M329" i="2"/>
  <c r="P329" i="2" s="1"/>
  <c r="L329" i="2"/>
  <c r="I327" i="2"/>
  <c r="I325" i="2"/>
  <c r="K325" i="2" s="1"/>
  <c r="N323" i="2"/>
  <c r="N321" i="2" s="1"/>
  <c r="M323" i="2"/>
  <c r="L323" i="2"/>
  <c r="P322" i="2"/>
  <c r="O322" i="2"/>
  <c r="N320" i="2"/>
  <c r="N318" i="2" s="1"/>
  <c r="M320" i="2"/>
  <c r="M318" i="2" s="1"/>
  <c r="L320" i="2"/>
  <c r="P319" i="2"/>
  <c r="O319" i="2"/>
  <c r="P316" i="2"/>
  <c r="O316" i="2"/>
  <c r="N316" i="2"/>
  <c r="M316" i="2"/>
  <c r="L316" i="2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P306" i="2" s="1"/>
  <c r="L306" i="2"/>
  <c r="O306" i="2" s="1"/>
  <c r="P305" i="2"/>
  <c r="O305" i="2"/>
  <c r="N303" i="2"/>
  <c r="N301" i="2" s="1"/>
  <c r="M303" i="2"/>
  <c r="P303" i="2" s="1"/>
  <c r="L303" i="2"/>
  <c r="O303" i="2" s="1"/>
  <c r="P302" i="2"/>
  <c r="O302" i="2"/>
  <c r="P299" i="2"/>
  <c r="N299" i="2"/>
  <c r="M299" i="2"/>
  <c r="L299" i="2"/>
  <c r="O299" i="2" s="1"/>
  <c r="J297" i="2"/>
  <c r="I294" i="2"/>
  <c r="K294" i="2" s="1"/>
  <c r="I293" i="2"/>
  <c r="K293" i="2" s="1"/>
  <c r="I291" i="2"/>
  <c r="K291" i="2" s="1"/>
  <c r="I290" i="2"/>
  <c r="K290" i="2" s="1"/>
  <c r="I288" i="2"/>
  <c r="I287" i="2"/>
  <c r="N285" i="2"/>
  <c r="M285" i="2"/>
  <c r="P285" i="2" s="1"/>
  <c r="L285" i="2"/>
  <c r="O285" i="2" s="1"/>
  <c r="P284" i="2"/>
  <c r="O284" i="2"/>
  <c r="N282" i="2"/>
  <c r="N280" i="2" s="1"/>
  <c r="M282" i="2"/>
  <c r="L282" i="2"/>
  <c r="P281" i="2"/>
  <c r="O281" i="2"/>
  <c r="P278" i="2"/>
  <c r="O278" i="2"/>
  <c r="N278" i="2"/>
  <c r="M278" i="2"/>
  <c r="L278" i="2"/>
  <c r="J276" i="2"/>
  <c r="I271" i="2"/>
  <c r="K271" i="2" s="1"/>
  <c r="N269" i="2"/>
  <c r="N267" i="2" s="1"/>
  <c r="M269" i="2"/>
  <c r="P269" i="2" s="1"/>
  <c r="L269" i="2"/>
  <c r="O269" i="2" s="1"/>
  <c r="P268" i="2"/>
  <c r="O268" i="2"/>
  <c r="N266" i="2"/>
  <c r="N264" i="2" s="1"/>
  <c r="M266" i="2"/>
  <c r="M264" i="2" s="1"/>
  <c r="L266" i="2"/>
  <c r="P265" i="2"/>
  <c r="O265" i="2"/>
  <c r="P262" i="2"/>
  <c r="O262" i="2"/>
  <c r="N262" i="2"/>
  <c r="M262" i="2"/>
  <c r="L262" i="2"/>
  <c r="J260" i="2"/>
  <c r="K258" i="2"/>
  <c r="K257" i="2"/>
  <c r="I255" i="2"/>
  <c r="K255" i="2" s="1"/>
  <c r="L253" i="2"/>
  <c r="L252" i="2"/>
  <c r="L251" i="2"/>
  <c r="L250" i="2"/>
  <c r="P249" i="2"/>
  <c r="N249" i="2"/>
  <c r="J248" i="2"/>
  <c r="K247" i="2"/>
  <c r="K246" i="2"/>
  <c r="I244" i="2"/>
  <c r="I237" i="2" s="1"/>
  <c r="L242" i="2"/>
  <c r="L241" i="2"/>
  <c r="L240" i="2"/>
  <c r="L239" i="2"/>
  <c r="P238" i="2"/>
  <c r="N238" i="2"/>
  <c r="J237" i="2"/>
  <c r="J226" i="2" s="1"/>
  <c r="J180" i="2" s="1"/>
  <c r="K236" i="2"/>
  <c r="J236" i="2"/>
  <c r="I236" i="2"/>
  <c r="J235" i="2"/>
  <c r="I235" i="2"/>
  <c r="K235" i="2" s="1"/>
  <c r="J233" i="2"/>
  <c r="N231" i="2"/>
  <c r="N230" i="2"/>
  <c r="N229" i="2"/>
  <c r="N228" i="2"/>
  <c r="N227" i="2"/>
  <c r="I225" i="2"/>
  <c r="K225" i="2" s="1"/>
  <c r="I224" i="2"/>
  <c r="I216" i="2" s="1"/>
  <c r="K216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I197" i="2" s="1"/>
  <c r="K197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M189" i="2"/>
  <c r="M187" i="2" s="1"/>
  <c r="P187" i="2" s="1"/>
  <c r="L189" i="2"/>
  <c r="L187" i="2" s="1"/>
  <c r="O187" i="2" s="1"/>
  <c r="P188" i="2"/>
  <c r="O188" i="2"/>
  <c r="N186" i="2"/>
  <c r="N184" i="2" s="1"/>
  <c r="M186" i="2"/>
  <c r="M184" i="2" s="1"/>
  <c r="L186" i="2"/>
  <c r="P185" i="2"/>
  <c r="O185" i="2"/>
  <c r="O182" i="2"/>
  <c r="N182" i="2"/>
  <c r="M182" i="2"/>
  <c r="P182" i="2" s="1"/>
  <c r="L182" i="2"/>
  <c r="J177" i="2"/>
  <c r="J164" i="2" s="1"/>
  <c r="I176" i="2"/>
  <c r="I174" i="2" s="1"/>
  <c r="I164" i="2" s="1"/>
  <c r="K164" i="2" s="1"/>
  <c r="J174" i="2"/>
  <c r="N173" i="2"/>
  <c r="N171" i="2" s="1"/>
  <c r="M173" i="2"/>
  <c r="M171" i="2" s="1"/>
  <c r="P171" i="2" s="1"/>
  <c r="L173" i="2"/>
  <c r="O173" i="2" s="1"/>
  <c r="P172" i="2"/>
  <c r="O172" i="2"/>
  <c r="N170" i="2"/>
  <c r="M170" i="2"/>
  <c r="M168" i="2" s="1"/>
  <c r="P168" i="2" s="1"/>
  <c r="L170" i="2"/>
  <c r="L168" i="2" s="1"/>
  <c r="O168" i="2" s="1"/>
  <c r="P169" i="2"/>
  <c r="O169" i="2"/>
  <c r="N166" i="2"/>
  <c r="M166" i="2"/>
  <c r="P166" i="2" s="1"/>
  <c r="L166" i="2"/>
  <c r="O166" i="2" s="1"/>
  <c r="I159" i="2"/>
  <c r="I148" i="2" s="1"/>
  <c r="K148" i="2" s="1"/>
  <c r="N157" i="2"/>
  <c r="N155" i="2" s="1"/>
  <c r="M157" i="2"/>
  <c r="P157" i="2" s="1"/>
  <c r="L157" i="2"/>
  <c r="O157" i="2" s="1"/>
  <c r="P156" i="2"/>
  <c r="O156" i="2"/>
  <c r="N154" i="2"/>
  <c r="M154" i="2"/>
  <c r="M152" i="2" s="1"/>
  <c r="L154" i="2"/>
  <c r="P153" i="2"/>
  <c r="O153" i="2"/>
  <c r="P150" i="2"/>
  <c r="O150" i="2"/>
  <c r="N150" i="2"/>
  <c r="M150" i="2"/>
  <c r="L150" i="2"/>
  <c r="J148" i="2"/>
  <c r="I146" i="2"/>
  <c r="K146" i="2" s="1"/>
  <c r="I145" i="2"/>
  <c r="K145" i="2" s="1"/>
  <c r="I144" i="2"/>
  <c r="K144" i="2" s="1"/>
  <c r="N140" i="2"/>
  <c r="N138" i="2" s="1"/>
  <c r="M140" i="2"/>
  <c r="P140" i="2" s="1"/>
  <c r="L140" i="2"/>
  <c r="L138" i="2" s="1"/>
  <c r="O138" i="2" s="1"/>
  <c r="P139" i="2"/>
  <c r="O139" i="2"/>
  <c r="N137" i="2"/>
  <c r="N135" i="2" s="1"/>
  <c r="M137" i="2"/>
  <c r="P137" i="2" s="1"/>
  <c r="L137" i="2"/>
  <c r="L135" i="2" s="1"/>
  <c r="O135" i="2" s="1"/>
  <c r="P136" i="2"/>
  <c r="O136" i="2"/>
  <c r="N133" i="2"/>
  <c r="M133" i="2"/>
  <c r="P133" i="2" s="1"/>
  <c r="L133" i="2"/>
  <c r="O133" i="2" s="1"/>
  <c r="J130" i="2"/>
  <c r="N127" i="2"/>
  <c r="N125" i="2" s="1"/>
  <c r="M127" i="2"/>
  <c r="P127" i="2" s="1"/>
  <c r="L127" i="2"/>
  <c r="O127" i="2" s="1"/>
  <c r="P126" i="2"/>
  <c r="O126" i="2"/>
  <c r="N124" i="2"/>
  <c r="N122" i="2" s="1"/>
  <c r="M124" i="2"/>
  <c r="L124" i="2"/>
  <c r="P123" i="2"/>
  <c r="O123" i="2"/>
  <c r="P120" i="2"/>
  <c r="O120" i="2"/>
  <c r="N120" i="2"/>
  <c r="M120" i="2"/>
  <c r="L120" i="2"/>
  <c r="I116" i="2"/>
  <c r="K116" i="2" s="1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J87" i="2" s="1"/>
  <c r="I99" i="2"/>
  <c r="I87" i="2" s="1"/>
  <c r="K87" i="2" s="1"/>
  <c r="J98" i="2"/>
  <c r="I98" i="2"/>
  <c r="K98" i="2" s="1"/>
  <c r="N96" i="2"/>
  <c r="N94" i="2" s="1"/>
  <c r="M96" i="2"/>
  <c r="M94" i="2" s="1"/>
  <c r="P94" i="2" s="1"/>
  <c r="L96" i="2"/>
  <c r="O96" i="2" s="1"/>
  <c r="P95" i="2"/>
  <c r="O95" i="2"/>
  <c r="N93" i="2"/>
  <c r="M93" i="2"/>
  <c r="M91" i="2" s="1"/>
  <c r="L93" i="2"/>
  <c r="P92" i="2"/>
  <c r="O92" i="2"/>
  <c r="O89" i="2"/>
  <c r="N89" i="2"/>
  <c r="M89" i="2"/>
  <c r="P89" i="2" s="1"/>
  <c r="L89" i="2"/>
  <c r="J86" i="2"/>
  <c r="I84" i="2"/>
  <c r="K84" i="2" s="1"/>
  <c r="I83" i="2"/>
  <c r="K83" i="2" s="1"/>
  <c r="I82" i="2"/>
  <c r="K82" i="2" s="1"/>
  <c r="I81" i="2"/>
  <c r="K81" i="2" s="1"/>
  <c r="I80" i="2"/>
  <c r="I79" i="2"/>
  <c r="K79" i="2" s="1"/>
  <c r="I78" i="2"/>
  <c r="K78" i="2" s="1"/>
  <c r="J77" i="2"/>
  <c r="J76" i="2"/>
  <c r="N74" i="2"/>
  <c r="N72" i="2" s="1"/>
  <c r="M74" i="2"/>
  <c r="P74" i="2" s="1"/>
  <c r="L74" i="2"/>
  <c r="L72" i="2" s="1"/>
  <c r="O72" i="2" s="1"/>
  <c r="P73" i="2"/>
  <c r="O73" i="2"/>
  <c r="N71" i="2"/>
  <c r="N69" i="2" s="1"/>
  <c r="M71" i="2"/>
  <c r="M69" i="2" s="1"/>
  <c r="L71" i="2"/>
  <c r="L69" i="2" s="1"/>
  <c r="P70" i="2"/>
  <c r="O70" i="2"/>
  <c r="N67" i="2"/>
  <c r="M67" i="2"/>
  <c r="P67" i="2" s="1"/>
  <c r="L67" i="2"/>
  <c r="O67" i="2" s="1"/>
  <c r="J65" i="2"/>
  <c r="J64" i="2"/>
  <c r="N61" i="2"/>
  <c r="N59" i="2" s="1"/>
  <c r="M61" i="2"/>
  <c r="L61" i="2"/>
  <c r="O61" i="2" s="1"/>
  <c r="P60" i="2"/>
  <c r="O60" i="2"/>
  <c r="N58" i="2"/>
  <c r="N56" i="2" s="1"/>
  <c r="M58" i="2"/>
  <c r="L58" i="2"/>
  <c r="L56" i="2" s="1"/>
  <c r="P57" i="2"/>
  <c r="O57" i="2"/>
  <c r="P54" i="2"/>
  <c r="O54" i="2"/>
  <c r="N54" i="2"/>
  <c r="M54" i="2"/>
  <c r="L54" i="2"/>
  <c r="N49" i="2"/>
  <c r="N47" i="2" s="1"/>
  <c r="M49" i="2"/>
  <c r="P49" i="2" s="1"/>
  <c r="L49" i="2"/>
  <c r="L47" i="2" s="1"/>
  <c r="O47" i="2" s="1"/>
  <c r="P48" i="2"/>
  <c r="O48" i="2"/>
  <c r="N46" i="2"/>
  <c r="M46" i="2"/>
  <c r="M44" i="2" s="1"/>
  <c r="L46" i="2"/>
  <c r="P45" i="2"/>
  <c r="O45" i="2"/>
  <c r="N42" i="2"/>
  <c r="M42" i="2"/>
  <c r="P42" i="2" s="1"/>
  <c r="L42" i="2"/>
  <c r="O42" i="2" s="1"/>
  <c r="P36" i="2"/>
  <c r="N36" i="2"/>
  <c r="N34" i="2" s="1"/>
  <c r="M36" i="2"/>
  <c r="O35" i="2"/>
  <c r="N35" i="2"/>
  <c r="M35" i="2"/>
  <c r="P35" i="2" s="1"/>
  <c r="L35" i="2"/>
  <c r="N33" i="2"/>
  <c r="P32" i="2"/>
  <c r="N32" i="2"/>
  <c r="M32" i="2"/>
  <c r="L32" i="2"/>
  <c r="N30" i="2"/>
  <c r="N29" i="2"/>
  <c r="N28" i="2"/>
  <c r="P25" i="2"/>
  <c r="N25" i="2"/>
  <c r="M25" i="2"/>
  <c r="L25" i="2"/>
  <c r="P22" i="2"/>
  <c r="O22" i="2"/>
  <c r="N22" i="2"/>
  <c r="N19" i="2" s="1"/>
  <c r="M22" i="2"/>
  <c r="L22" i="2"/>
  <c r="P19" i="2"/>
  <c r="M19" i="2"/>
  <c r="L19" i="2"/>
  <c r="O19" i="2" s="1"/>
  <c r="N15" i="2"/>
  <c r="M15" i="2"/>
  <c r="P15" i="2" s="1"/>
  <c r="M12" i="2"/>
  <c r="P12" i="2" s="1"/>
  <c r="L12" i="2"/>
  <c r="O12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O808" i="1"/>
  <c r="N808" i="1"/>
  <c r="M808" i="1"/>
  <c r="P808" i="1" s="1"/>
  <c r="L808" i="1"/>
  <c r="N807" i="1"/>
  <c r="N805" i="1" s="1"/>
  <c r="M807" i="1"/>
  <c r="P807" i="1" s="1"/>
  <c r="L807" i="1"/>
  <c r="O807" i="1" s="1"/>
  <c r="N806" i="1"/>
  <c r="M806" i="1"/>
  <c r="L806" i="1"/>
  <c r="O806" i="1" s="1"/>
  <c r="L805" i="1"/>
  <c r="O805" i="1" s="1"/>
  <c r="K804" i="1"/>
  <c r="J804" i="1"/>
  <c r="K802" i="1"/>
  <c r="J801" i="1"/>
  <c r="J800" i="1"/>
  <c r="J785" i="1" s="1"/>
  <c r="I800" i="1"/>
  <c r="K800" i="1" s="1"/>
  <c r="P798" i="1"/>
  <c r="O798" i="1"/>
  <c r="P797" i="1"/>
  <c r="O797" i="1"/>
  <c r="P796" i="1"/>
  <c r="O796" i="1"/>
  <c r="N796" i="1"/>
  <c r="M796" i="1"/>
  <c r="L796" i="1"/>
  <c r="N795" i="1"/>
  <c r="N794" i="1"/>
  <c r="N793" i="1"/>
  <c r="N792" i="1"/>
  <c r="P791" i="1"/>
  <c r="L791" i="1"/>
  <c r="O791" i="1" s="1"/>
  <c r="P790" i="1"/>
  <c r="O790" i="1"/>
  <c r="M789" i="1"/>
  <c r="P789" i="1" s="1"/>
  <c r="P788" i="1"/>
  <c r="M788" i="1"/>
  <c r="P787" i="1"/>
  <c r="O787" i="1"/>
  <c r="N787" i="1"/>
  <c r="M787" i="1"/>
  <c r="L787" i="1"/>
  <c r="P786" i="1"/>
  <c r="M786" i="1"/>
  <c r="P782" i="1"/>
  <c r="O782" i="1"/>
  <c r="P781" i="1"/>
  <c r="O781" i="1"/>
  <c r="P780" i="1"/>
  <c r="O780" i="1"/>
  <c r="N780" i="1"/>
  <c r="M780" i="1"/>
  <c r="L780" i="1"/>
  <c r="P775" i="1"/>
  <c r="O775" i="1"/>
  <c r="N775" i="1"/>
  <c r="N772" i="1" s="1"/>
  <c r="N770" i="1" s="1"/>
  <c r="P774" i="1"/>
  <c r="O774" i="1"/>
  <c r="N773" i="1"/>
  <c r="M773" i="1"/>
  <c r="P773" i="1" s="1"/>
  <c r="L773" i="1"/>
  <c r="O773" i="1" s="1"/>
  <c r="M772" i="1"/>
  <c r="L772" i="1"/>
  <c r="O772" i="1" s="1"/>
  <c r="P771" i="1"/>
  <c r="N771" i="1"/>
  <c r="M771" i="1"/>
  <c r="L771" i="1"/>
  <c r="K769" i="1"/>
  <c r="J769" i="1"/>
  <c r="P766" i="1"/>
  <c r="O766" i="1"/>
  <c r="P765" i="1"/>
  <c r="O765" i="1"/>
  <c r="P764" i="1"/>
  <c r="O764" i="1"/>
  <c r="N764" i="1"/>
  <c r="M764" i="1"/>
  <c r="L764" i="1"/>
  <c r="P759" i="1"/>
  <c r="O759" i="1"/>
  <c r="N759" i="1"/>
  <c r="N756" i="1" s="1"/>
  <c r="N754" i="1" s="1"/>
  <c r="P758" i="1"/>
  <c r="O758" i="1"/>
  <c r="M757" i="1"/>
  <c r="P757" i="1" s="1"/>
  <c r="L757" i="1"/>
  <c r="O757" i="1" s="1"/>
  <c r="M756" i="1"/>
  <c r="L756" i="1"/>
  <c r="O756" i="1" s="1"/>
  <c r="P755" i="1"/>
  <c r="N755" i="1"/>
  <c r="M755" i="1"/>
  <c r="L755" i="1"/>
  <c r="K753" i="1"/>
  <c r="J753" i="1"/>
  <c r="P749" i="1"/>
  <c r="O749" i="1"/>
  <c r="P748" i="1"/>
  <c r="O748" i="1"/>
  <c r="P747" i="1"/>
  <c r="O747" i="1"/>
  <c r="N747" i="1"/>
  <c r="M747" i="1"/>
  <c r="L747" i="1"/>
  <c r="P742" i="1"/>
  <c r="O742" i="1"/>
  <c r="N742" i="1"/>
  <c r="N739" i="1" s="1"/>
  <c r="N737" i="1" s="1"/>
  <c r="P741" i="1"/>
  <c r="O741" i="1"/>
  <c r="M740" i="1"/>
  <c r="P740" i="1" s="1"/>
  <c r="L740" i="1"/>
  <c r="O740" i="1" s="1"/>
  <c r="M739" i="1"/>
  <c r="L739" i="1"/>
  <c r="O739" i="1" s="1"/>
  <c r="P738" i="1"/>
  <c r="N738" i="1"/>
  <c r="M738" i="1"/>
  <c r="L738" i="1"/>
  <c r="K736" i="1"/>
  <c r="J736" i="1"/>
  <c r="J735" i="1"/>
  <c r="J734" i="1"/>
  <c r="J733" i="1"/>
  <c r="J732" i="1"/>
  <c r="J731" i="1"/>
  <c r="J730" i="1"/>
  <c r="I729" i="1"/>
  <c r="K729" i="1" s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K720" i="1" s="1"/>
  <c r="J719" i="1"/>
  <c r="J718" i="1"/>
  <c r="J717" i="1"/>
  <c r="J716" i="1"/>
  <c r="J715" i="1"/>
  <c r="J714" i="1"/>
  <c r="J713" i="1"/>
  <c r="J712" i="1"/>
  <c r="J710" i="1"/>
  <c r="J709" i="1"/>
  <c r="I708" i="1"/>
  <c r="K708" i="1" s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N695" i="1"/>
  <c r="M695" i="1"/>
  <c r="L695" i="1"/>
  <c r="O695" i="1" s="1"/>
  <c r="N694" i="1"/>
  <c r="N693" i="1"/>
  <c r="N692" i="1"/>
  <c r="N691" i="1"/>
  <c r="M690" i="1"/>
  <c r="M688" i="1" s="1"/>
  <c r="L690" i="1"/>
  <c r="L688" i="1" s="1"/>
  <c r="P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M657" i="1" s="1"/>
  <c r="L660" i="1"/>
  <c r="L658" i="1" s="1"/>
  <c r="P659" i="1"/>
  <c r="O659" i="1"/>
  <c r="N656" i="1"/>
  <c r="M656" i="1"/>
  <c r="L656" i="1"/>
  <c r="O656" i="1" s="1"/>
  <c r="K652" i="1"/>
  <c r="J652" i="1"/>
  <c r="J651" i="1"/>
  <c r="J628" i="1" s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O641" i="1" s="1"/>
  <c r="P640" i="1"/>
  <c r="O640" i="1"/>
  <c r="N639" i="1"/>
  <c r="M639" i="1"/>
  <c r="P639" i="1" s="1"/>
  <c r="N638" i="1"/>
  <c r="N637" i="1"/>
  <c r="N636" i="1"/>
  <c r="N635" i="1"/>
  <c r="M634" i="1"/>
  <c r="M632" i="1" s="1"/>
  <c r="L634" i="1"/>
  <c r="L632" i="1" s="1"/>
  <c r="P633" i="1"/>
  <c r="O633" i="1"/>
  <c r="P630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P556" i="1"/>
  <c r="O556" i="1"/>
  <c r="P555" i="1"/>
  <c r="N555" i="1"/>
  <c r="N545" i="1" s="1"/>
  <c r="M555" i="1"/>
  <c r="N554" i="1"/>
  <c r="N553" i="1"/>
  <c r="N552" i="1"/>
  <c r="N551" i="1"/>
  <c r="N550" i="1"/>
  <c r="M549" i="1"/>
  <c r="L549" i="1"/>
  <c r="P548" i="1"/>
  <c r="O548" i="1"/>
  <c r="M545" i="1"/>
  <c r="L545" i="1"/>
  <c r="O545" i="1" s="1"/>
  <c r="J542" i="1"/>
  <c r="I542" i="1"/>
  <c r="J541" i="1"/>
  <c r="I541" i="1"/>
  <c r="J540" i="1"/>
  <c r="I540" i="1"/>
  <c r="J539" i="1"/>
  <c r="I539" i="1"/>
  <c r="J538" i="1"/>
  <c r="I538" i="1"/>
  <c r="J537" i="1"/>
  <c r="J522" i="1" s="1"/>
  <c r="I537" i="1"/>
  <c r="I522" i="1" s="1"/>
  <c r="P535" i="1"/>
  <c r="L535" i="1"/>
  <c r="P534" i="1"/>
  <c r="O534" i="1"/>
  <c r="N533" i="1"/>
  <c r="M533" i="1"/>
  <c r="P533" i="1" s="1"/>
  <c r="N532" i="1"/>
  <c r="N531" i="1"/>
  <c r="N530" i="1"/>
  <c r="N529" i="1"/>
  <c r="M528" i="1"/>
  <c r="M526" i="1" s="1"/>
  <c r="L528" i="1"/>
  <c r="L526" i="1" s="1"/>
  <c r="P527" i="1"/>
  <c r="O527" i="1"/>
  <c r="O524" i="1"/>
  <c r="N524" i="1"/>
  <c r="M524" i="1"/>
  <c r="P524" i="1" s="1"/>
  <c r="L524" i="1"/>
  <c r="K517" i="1"/>
  <c r="J517" i="1"/>
  <c r="K516" i="1"/>
  <c r="P514" i="1"/>
  <c r="O514" i="1"/>
  <c r="P513" i="1"/>
  <c r="O513" i="1"/>
  <c r="P512" i="1"/>
  <c r="O512" i="1"/>
  <c r="N512" i="1"/>
  <c r="M512" i="1"/>
  <c r="L512" i="1"/>
  <c r="P507" i="1"/>
  <c r="O507" i="1"/>
  <c r="N507" i="1"/>
  <c r="P506" i="1"/>
  <c r="O506" i="1"/>
  <c r="O505" i="1"/>
  <c r="N505" i="1"/>
  <c r="M505" i="1"/>
  <c r="P505" i="1" s="1"/>
  <c r="L505" i="1"/>
  <c r="N504" i="1"/>
  <c r="M504" i="1"/>
  <c r="P504" i="1" s="1"/>
  <c r="L504" i="1"/>
  <c r="O504" i="1" s="1"/>
  <c r="N503" i="1"/>
  <c r="M503" i="1"/>
  <c r="L503" i="1"/>
  <c r="O503" i="1" s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P477" i="1"/>
  <c r="N477" i="1"/>
  <c r="M477" i="1"/>
  <c r="N476" i="1"/>
  <c r="N475" i="1"/>
  <c r="N474" i="1"/>
  <c r="N473" i="1"/>
  <c r="M472" i="1"/>
  <c r="M469" i="1" s="1"/>
  <c r="L472" i="1"/>
  <c r="L470" i="1" s="1"/>
  <c r="P471" i="1"/>
  <c r="O471" i="1"/>
  <c r="P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J460" i="1"/>
  <c r="J442" i="1" s="1"/>
  <c r="I460" i="1"/>
  <c r="I442" i="1" s="1"/>
  <c r="K458" i="1"/>
  <c r="P456" i="1"/>
  <c r="L456" i="1"/>
  <c r="P455" i="1"/>
  <c r="O455" i="1"/>
  <c r="N454" i="1"/>
  <c r="M454" i="1"/>
  <c r="P454" i="1" s="1"/>
  <c r="N453" i="1"/>
  <c r="N452" i="1"/>
  <c r="N451" i="1"/>
  <c r="N450" i="1"/>
  <c r="M449" i="1"/>
  <c r="M447" i="1" s="1"/>
  <c r="L449" i="1"/>
  <c r="P448" i="1"/>
  <c r="O448" i="1"/>
  <c r="P445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I417" i="1" s="1"/>
  <c r="J433" i="1"/>
  <c r="J417" i="1" s="1"/>
  <c r="P431" i="1"/>
  <c r="L431" i="1"/>
  <c r="L429" i="1" s="1"/>
  <c r="O429" i="1" s="1"/>
  <c r="P430" i="1"/>
  <c r="O430" i="1"/>
  <c r="P429" i="1"/>
  <c r="N429" i="1"/>
  <c r="M429" i="1"/>
  <c r="N428" i="1"/>
  <c r="N427" i="1"/>
  <c r="N426" i="1"/>
  <c r="N425" i="1"/>
  <c r="M424" i="1"/>
  <c r="L424" i="1"/>
  <c r="L422" i="1" s="1"/>
  <c r="P423" i="1"/>
  <c r="O423" i="1"/>
  <c r="N420" i="1"/>
  <c r="M420" i="1"/>
  <c r="P420" i="1" s="1"/>
  <c r="L420" i="1"/>
  <c r="O420" i="1" s="1"/>
  <c r="J413" i="1"/>
  <c r="I413" i="1"/>
  <c r="J412" i="1"/>
  <c r="J401" i="1" s="1"/>
  <c r="I412" i="1"/>
  <c r="N410" i="1"/>
  <c r="M410" i="1"/>
  <c r="M408" i="1" s="1"/>
  <c r="L410" i="1"/>
  <c r="L408" i="1" s="1"/>
  <c r="P409" i="1"/>
  <c r="O409" i="1"/>
  <c r="N407" i="1"/>
  <c r="N405" i="1" s="1"/>
  <c r="M407" i="1"/>
  <c r="L407" i="1"/>
  <c r="P406" i="1"/>
  <c r="O406" i="1"/>
  <c r="P403" i="1"/>
  <c r="O403" i="1"/>
  <c r="N403" i="1"/>
  <c r="M403" i="1"/>
  <c r="L403" i="1"/>
  <c r="J400" i="1"/>
  <c r="J388" i="1" s="1"/>
  <c r="I400" i="1"/>
  <c r="I388" i="1" s="1"/>
  <c r="K388" i="1" s="1"/>
  <c r="J399" i="1"/>
  <c r="I399" i="1"/>
  <c r="K399" i="1" s="1"/>
  <c r="N397" i="1"/>
  <c r="N395" i="1" s="1"/>
  <c r="M397" i="1"/>
  <c r="L397" i="1"/>
  <c r="P396" i="1"/>
  <c r="O396" i="1"/>
  <c r="N394" i="1"/>
  <c r="N392" i="1" s="1"/>
  <c r="M394" i="1"/>
  <c r="M392" i="1" s="1"/>
  <c r="P392" i="1" s="1"/>
  <c r="L394" i="1"/>
  <c r="O394" i="1" s="1"/>
  <c r="P393" i="1"/>
  <c r="O393" i="1"/>
  <c r="P390" i="1"/>
  <c r="O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L351" i="1" s="1"/>
  <c r="P352" i="1"/>
  <c r="O352" i="1"/>
  <c r="N350" i="1"/>
  <c r="N348" i="1" s="1"/>
  <c r="M350" i="1"/>
  <c r="L350" i="1"/>
  <c r="L348" i="1" s="1"/>
  <c r="P349" i="1"/>
  <c r="O349" i="1"/>
  <c r="N346" i="1"/>
  <c r="M346" i="1"/>
  <c r="L346" i="1"/>
  <c r="O346" i="1" s="1"/>
  <c r="J343" i="1"/>
  <c r="J342" i="1"/>
  <c r="J341" i="1"/>
  <c r="J340" i="1"/>
  <c r="I340" i="1"/>
  <c r="J338" i="1"/>
  <c r="I338" i="1"/>
  <c r="N336" i="1"/>
  <c r="N334" i="1" s="1"/>
  <c r="M336" i="1"/>
  <c r="L336" i="1"/>
  <c r="L334" i="1" s="1"/>
  <c r="O334" i="1" s="1"/>
  <c r="P335" i="1"/>
  <c r="O335" i="1"/>
  <c r="N333" i="1"/>
  <c r="N331" i="1" s="1"/>
  <c r="M333" i="1"/>
  <c r="L333" i="1"/>
  <c r="L331" i="1" s="1"/>
  <c r="P332" i="1"/>
  <c r="O332" i="1"/>
  <c r="N329" i="1"/>
  <c r="M329" i="1"/>
  <c r="L329" i="1"/>
  <c r="O329" i="1" s="1"/>
  <c r="I327" i="1"/>
  <c r="J325" i="1"/>
  <c r="J314" i="1" s="1"/>
  <c r="I325" i="1"/>
  <c r="N323" i="1"/>
  <c r="M323" i="1"/>
  <c r="M321" i="1" s="1"/>
  <c r="L323" i="1"/>
  <c r="L321" i="1" s="1"/>
  <c r="P322" i="1"/>
  <c r="O322" i="1"/>
  <c r="N320" i="1"/>
  <c r="N318" i="1" s="1"/>
  <c r="M320" i="1"/>
  <c r="L320" i="1"/>
  <c r="L318" i="1" s="1"/>
  <c r="P319" i="1"/>
  <c r="O319" i="1"/>
  <c r="P316" i="1"/>
  <c r="O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J308" i="1"/>
  <c r="N306" i="1"/>
  <c r="N304" i="1" s="1"/>
  <c r="M306" i="1"/>
  <c r="L306" i="1"/>
  <c r="P305" i="1"/>
  <c r="O305" i="1"/>
  <c r="N303" i="1"/>
  <c r="N301" i="1" s="1"/>
  <c r="M303" i="1"/>
  <c r="M301" i="1" s="1"/>
  <c r="L303" i="1"/>
  <c r="P302" i="1"/>
  <c r="O302" i="1"/>
  <c r="P299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I275" i="1" s="1"/>
  <c r="J287" i="1"/>
  <c r="J276" i="1" s="1"/>
  <c r="I287" i="1"/>
  <c r="I276" i="1" s="1"/>
  <c r="N285" i="1"/>
  <c r="M285" i="1"/>
  <c r="P285" i="1" s="1"/>
  <c r="L285" i="1"/>
  <c r="P284" i="1"/>
  <c r="O284" i="1"/>
  <c r="N282" i="1"/>
  <c r="N280" i="1" s="1"/>
  <c r="M282" i="1"/>
  <c r="L282" i="1"/>
  <c r="P281" i="1"/>
  <c r="O281" i="1"/>
  <c r="P278" i="1"/>
  <c r="O278" i="1"/>
  <c r="N278" i="1"/>
  <c r="M278" i="1"/>
  <c r="L278" i="1"/>
  <c r="J271" i="1"/>
  <c r="J260" i="1" s="1"/>
  <c r="I271" i="1"/>
  <c r="N269" i="1"/>
  <c r="N267" i="1" s="1"/>
  <c r="M269" i="1"/>
  <c r="P269" i="1" s="1"/>
  <c r="L269" i="1"/>
  <c r="P268" i="1"/>
  <c r="O268" i="1"/>
  <c r="N266" i="1"/>
  <c r="N264" i="1" s="1"/>
  <c r="M266" i="1"/>
  <c r="L266" i="1"/>
  <c r="P265" i="1"/>
  <c r="O265" i="1"/>
  <c r="P262" i="1"/>
  <c r="O262" i="1"/>
  <c r="N262" i="1"/>
  <c r="M262" i="1"/>
  <c r="L262" i="1"/>
  <c r="J258" i="1"/>
  <c r="I258" i="1"/>
  <c r="K258" i="1" s="1"/>
  <c r="J257" i="1"/>
  <c r="I257" i="1"/>
  <c r="K257" i="1" s="1"/>
  <c r="J255" i="1"/>
  <c r="J248" i="1" s="1"/>
  <c r="I255" i="1"/>
  <c r="K255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K246" i="1" s="1"/>
  <c r="J244" i="1"/>
  <c r="J237" i="1" s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M189" i="1"/>
  <c r="P189" i="1" s="1"/>
  <c r="L189" i="1"/>
  <c r="L187" i="1" s="1"/>
  <c r="O187" i="1" s="1"/>
  <c r="P188" i="1"/>
  <c r="O188" i="1"/>
  <c r="N186" i="1"/>
  <c r="N184" i="1" s="1"/>
  <c r="M186" i="1"/>
  <c r="L186" i="1"/>
  <c r="L184" i="1" s="1"/>
  <c r="P185" i="1"/>
  <c r="O185" i="1"/>
  <c r="N182" i="1"/>
  <c r="M182" i="1"/>
  <c r="L182" i="1"/>
  <c r="O182" i="1" s="1"/>
  <c r="J177" i="1"/>
  <c r="J176" i="1"/>
  <c r="J174" i="1" s="1"/>
  <c r="J164" i="1" s="1"/>
  <c r="I176" i="1"/>
  <c r="I174" i="1" s="1"/>
  <c r="N173" i="1"/>
  <c r="N171" i="1" s="1"/>
  <c r="M173" i="1"/>
  <c r="M171" i="1" s="1"/>
  <c r="P171" i="1" s="1"/>
  <c r="L173" i="1"/>
  <c r="L171" i="1" s="1"/>
  <c r="O171" i="1" s="1"/>
  <c r="P172" i="1"/>
  <c r="O172" i="1"/>
  <c r="N170" i="1"/>
  <c r="N168" i="1" s="1"/>
  <c r="M170" i="1"/>
  <c r="L170" i="1"/>
  <c r="L168" i="1" s="1"/>
  <c r="P169" i="1"/>
  <c r="O169" i="1"/>
  <c r="N166" i="1"/>
  <c r="M166" i="1"/>
  <c r="P166" i="1" s="1"/>
  <c r="L166" i="1"/>
  <c r="O166" i="1" s="1"/>
  <c r="J159" i="1"/>
  <c r="J148" i="1" s="1"/>
  <c r="I159" i="1"/>
  <c r="I148" i="1" s="1"/>
  <c r="N157" i="1"/>
  <c r="N155" i="1" s="1"/>
  <c r="M157" i="1"/>
  <c r="P157" i="1" s="1"/>
  <c r="L157" i="1"/>
  <c r="O157" i="1" s="1"/>
  <c r="P156" i="1"/>
  <c r="O156" i="1"/>
  <c r="N154" i="1"/>
  <c r="M154" i="1"/>
  <c r="L154" i="1"/>
  <c r="P153" i="1"/>
  <c r="O153" i="1"/>
  <c r="P150" i="1"/>
  <c r="O150" i="1"/>
  <c r="N150" i="1"/>
  <c r="M150" i="1"/>
  <c r="L150" i="1"/>
  <c r="J146" i="1"/>
  <c r="I146" i="1"/>
  <c r="I130" i="1" s="1"/>
  <c r="J145" i="1"/>
  <c r="I145" i="1"/>
  <c r="I143" i="1" s="1"/>
  <c r="J144" i="1"/>
  <c r="I144" i="1"/>
  <c r="J143" i="1"/>
  <c r="J131" i="1" s="1"/>
  <c r="J142" i="1"/>
  <c r="N140" i="1"/>
  <c r="N138" i="1" s="1"/>
  <c r="M140" i="1"/>
  <c r="L140" i="1"/>
  <c r="P139" i="1"/>
  <c r="O139" i="1"/>
  <c r="N137" i="1"/>
  <c r="N135" i="1" s="1"/>
  <c r="M137" i="1"/>
  <c r="L137" i="1"/>
  <c r="P136" i="1"/>
  <c r="O136" i="1"/>
  <c r="N133" i="1"/>
  <c r="M133" i="1"/>
  <c r="L133" i="1"/>
  <c r="N127" i="1"/>
  <c r="N125" i="1" s="1"/>
  <c r="M127" i="1"/>
  <c r="L127" i="1"/>
  <c r="L125" i="1" s="1"/>
  <c r="P126" i="1"/>
  <c r="O126" i="1"/>
  <c r="N124" i="1"/>
  <c r="N122" i="1" s="1"/>
  <c r="M124" i="1"/>
  <c r="L124" i="1"/>
  <c r="L122" i="1" s="1"/>
  <c r="O122" i="1" s="1"/>
  <c r="P123" i="1"/>
  <c r="O123" i="1"/>
  <c r="O120" i="1"/>
  <c r="N120" i="1"/>
  <c r="M120" i="1"/>
  <c r="P120" i="1" s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I102" i="1"/>
  <c r="I100" i="1"/>
  <c r="I99" i="1"/>
  <c r="I98" i="1"/>
  <c r="I86" i="1" s="1"/>
  <c r="N96" i="1"/>
  <c r="N94" i="1" s="1"/>
  <c r="M96" i="1"/>
  <c r="L96" i="1"/>
  <c r="L94" i="1" s="1"/>
  <c r="O94" i="1" s="1"/>
  <c r="P95" i="1"/>
  <c r="O95" i="1"/>
  <c r="N93" i="1"/>
  <c r="M93" i="1"/>
  <c r="M91" i="1" s="1"/>
  <c r="L93" i="1"/>
  <c r="L91" i="1" s="1"/>
  <c r="P92" i="1"/>
  <c r="O92" i="1"/>
  <c r="P89" i="1"/>
  <c r="N89" i="1"/>
  <c r="M89" i="1"/>
  <c r="L89" i="1"/>
  <c r="O89" i="1" s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M74" i="1"/>
  <c r="P74" i="1" s="1"/>
  <c r="L74" i="1"/>
  <c r="O74" i="1" s="1"/>
  <c r="P73" i="1"/>
  <c r="O73" i="1"/>
  <c r="N71" i="1"/>
  <c r="N69" i="1" s="1"/>
  <c r="M71" i="1"/>
  <c r="L71" i="1"/>
  <c r="P70" i="1"/>
  <c r="O70" i="1"/>
  <c r="P67" i="1"/>
  <c r="N67" i="1"/>
  <c r="M67" i="1"/>
  <c r="L67" i="1"/>
  <c r="O67" i="1" s="1"/>
  <c r="N61" i="1"/>
  <c r="N59" i="1" s="1"/>
  <c r="M61" i="1"/>
  <c r="M59" i="1" s="1"/>
  <c r="L61" i="1"/>
  <c r="L59" i="1" s="1"/>
  <c r="P60" i="1"/>
  <c r="O60" i="1"/>
  <c r="N58" i="1"/>
  <c r="N56" i="1" s="1"/>
  <c r="M58" i="1"/>
  <c r="L58" i="1"/>
  <c r="L56" i="1" s="1"/>
  <c r="P57" i="1"/>
  <c r="O57" i="1"/>
  <c r="O54" i="1"/>
  <c r="N54" i="1"/>
  <c r="M54" i="1"/>
  <c r="P54" i="1" s="1"/>
  <c r="L54" i="1"/>
  <c r="N49" i="1"/>
  <c r="N47" i="1" s="1"/>
  <c r="M49" i="1"/>
  <c r="P49" i="1" s="1"/>
  <c r="L49" i="1"/>
  <c r="O49" i="1" s="1"/>
  <c r="P48" i="1"/>
  <c r="O48" i="1"/>
  <c r="N46" i="1"/>
  <c r="N44" i="1" s="1"/>
  <c r="M46" i="1"/>
  <c r="L46" i="1"/>
  <c r="L44" i="1" s="1"/>
  <c r="P45" i="1"/>
  <c r="O45" i="1"/>
  <c r="P42" i="1"/>
  <c r="N42" i="1"/>
  <c r="M42" i="1"/>
  <c r="L42" i="1"/>
  <c r="O42" i="1" s="1"/>
  <c r="N36" i="1"/>
  <c r="M36" i="1"/>
  <c r="P36" i="1" s="1"/>
  <c r="N35" i="1"/>
  <c r="N34" i="1" s="1"/>
  <c r="M35" i="1"/>
  <c r="P35" i="1" s="1"/>
  <c r="L35" i="1"/>
  <c r="O32" i="1"/>
  <c r="N32" i="1"/>
  <c r="M32" i="1"/>
  <c r="L32" i="1"/>
  <c r="N29" i="1"/>
  <c r="M29" i="1"/>
  <c r="P29" i="1" s="1"/>
  <c r="P25" i="1"/>
  <c r="O25" i="1"/>
  <c r="N25" i="1"/>
  <c r="M25" i="1"/>
  <c r="L25" i="1"/>
  <c r="N22" i="1"/>
  <c r="N19" i="1" s="1"/>
  <c r="M22" i="1"/>
  <c r="L22" i="1"/>
  <c r="N15" i="1"/>
  <c r="M15" i="1"/>
  <c r="L15" i="1"/>
  <c r="L555" i="6" l="1"/>
  <c r="O555" i="6" s="1"/>
  <c r="L526" i="12"/>
  <c r="O526" i="12" s="1"/>
  <c r="L639" i="12"/>
  <c r="O639" i="12" s="1"/>
  <c r="I86" i="5"/>
  <c r="K86" i="5" s="1"/>
  <c r="K823" i="15"/>
  <c r="K826" i="15"/>
  <c r="L639" i="3"/>
  <c r="O639" i="3" s="1"/>
  <c r="L90" i="15"/>
  <c r="M263" i="15"/>
  <c r="M261" i="15" s="1"/>
  <c r="O528" i="15"/>
  <c r="L639" i="2"/>
  <c r="O639" i="2" s="1"/>
  <c r="L429" i="2"/>
  <c r="O429" i="2" s="1"/>
  <c r="L658" i="5"/>
  <c r="O658" i="5" s="1"/>
  <c r="L429" i="9"/>
  <c r="O429" i="9" s="1"/>
  <c r="L447" i="11"/>
  <c r="O447" i="11" s="1"/>
  <c r="N134" i="14"/>
  <c r="N132" i="14" s="1"/>
  <c r="L639" i="11"/>
  <c r="O639" i="11" s="1"/>
  <c r="L526" i="6"/>
  <c r="O526" i="6" s="1"/>
  <c r="L788" i="14"/>
  <c r="O788" i="14" s="1"/>
  <c r="N391" i="12"/>
  <c r="L230" i="14"/>
  <c r="L788" i="13"/>
  <c r="O788" i="13" s="1"/>
  <c r="L68" i="15"/>
  <c r="L66" i="15" s="1"/>
  <c r="L526" i="9"/>
  <c r="O526" i="9" s="1"/>
  <c r="N121" i="14"/>
  <c r="N119" i="14" s="1"/>
  <c r="K224" i="14"/>
  <c r="M125" i="12"/>
  <c r="P125" i="12" s="1"/>
  <c r="L391" i="12"/>
  <c r="O391" i="12" s="1"/>
  <c r="L392" i="12"/>
  <c r="O392" i="12" s="1"/>
  <c r="L395" i="12"/>
  <c r="O395" i="12" s="1"/>
  <c r="O135" i="15"/>
  <c r="M72" i="15"/>
  <c r="P72" i="15" s="1"/>
  <c r="M317" i="14"/>
  <c r="P317" i="14" s="1"/>
  <c r="L230" i="15"/>
  <c r="P154" i="15"/>
  <c r="K385" i="15"/>
  <c r="N404" i="15"/>
  <c r="N402" i="15" s="1"/>
  <c r="L639" i="7"/>
  <c r="O639" i="7" s="1"/>
  <c r="K372" i="15"/>
  <c r="M94" i="15"/>
  <c r="P94" i="15" s="1"/>
  <c r="K176" i="15"/>
  <c r="L231" i="15"/>
  <c r="M267" i="15"/>
  <c r="P267" i="15" s="1"/>
  <c r="L404" i="15"/>
  <c r="L402" i="15" s="1"/>
  <c r="O402" i="15" s="1"/>
  <c r="L408" i="15"/>
  <c r="O408" i="15" s="1"/>
  <c r="N347" i="15"/>
  <c r="N345" i="15" s="1"/>
  <c r="O168" i="14"/>
  <c r="O46" i="15"/>
  <c r="L72" i="15"/>
  <c r="O72" i="15" s="1"/>
  <c r="M167" i="15"/>
  <c r="M165" i="15" s="1"/>
  <c r="L171" i="15"/>
  <c r="O171" i="15" s="1"/>
  <c r="P303" i="15"/>
  <c r="K822" i="15"/>
  <c r="K825" i="15"/>
  <c r="K828" i="15"/>
  <c r="P168" i="14"/>
  <c r="I130" i="15"/>
  <c r="K130" i="15" s="1"/>
  <c r="O152" i="15"/>
  <c r="O331" i="15"/>
  <c r="L167" i="14"/>
  <c r="L165" i="14" s="1"/>
  <c r="J721" i="14"/>
  <c r="M68" i="15"/>
  <c r="M66" i="15" s="1"/>
  <c r="M152" i="15"/>
  <c r="P152" i="15" s="1"/>
  <c r="N151" i="15"/>
  <c r="N149" i="15" s="1"/>
  <c r="M408" i="15"/>
  <c r="P408" i="15" s="1"/>
  <c r="L477" i="15"/>
  <c r="O477" i="15" s="1"/>
  <c r="J722" i="15"/>
  <c r="L171" i="14"/>
  <c r="O171" i="14" s="1"/>
  <c r="L334" i="14"/>
  <c r="O334" i="14" s="1"/>
  <c r="L404" i="14"/>
  <c r="L402" i="14" s="1"/>
  <c r="O402" i="14" s="1"/>
  <c r="K674" i="14"/>
  <c r="K822" i="14"/>
  <c r="K828" i="14"/>
  <c r="M330" i="15"/>
  <c r="M328" i="15" s="1"/>
  <c r="K823" i="14"/>
  <c r="L94" i="15"/>
  <c r="O94" i="15" s="1"/>
  <c r="O154" i="15"/>
  <c r="J327" i="15"/>
  <c r="K327" i="15" s="1"/>
  <c r="N391" i="15"/>
  <c r="N389" i="15" s="1"/>
  <c r="L347" i="14"/>
  <c r="L345" i="14" s="1"/>
  <c r="I190" i="15"/>
  <c r="K190" i="15" s="1"/>
  <c r="N90" i="14"/>
  <c r="N88" i="14" s="1"/>
  <c r="I76" i="15"/>
  <c r="K76" i="15" s="1"/>
  <c r="M151" i="15"/>
  <c r="M149" i="15" s="1"/>
  <c r="I197" i="15"/>
  <c r="K197" i="15" s="1"/>
  <c r="M405" i="15"/>
  <c r="P405" i="15" s="1"/>
  <c r="K577" i="15"/>
  <c r="L631" i="15"/>
  <c r="O631" i="15" s="1"/>
  <c r="L47" i="15"/>
  <c r="O47" i="15" s="1"/>
  <c r="M26" i="15"/>
  <c r="M24" i="15" s="1"/>
  <c r="I314" i="15"/>
  <c r="K314" i="15" s="1"/>
  <c r="L347" i="15"/>
  <c r="L345" i="15" s="1"/>
  <c r="L391" i="15"/>
  <c r="O391" i="15" s="1"/>
  <c r="N90" i="15"/>
  <c r="N88" i="15" s="1"/>
  <c r="O93" i="15"/>
  <c r="L125" i="15"/>
  <c r="O125" i="15" s="1"/>
  <c r="K159" i="15"/>
  <c r="N279" i="15"/>
  <c r="N277" i="15" s="1"/>
  <c r="P353" i="11"/>
  <c r="O127" i="14"/>
  <c r="K193" i="14"/>
  <c r="O168" i="15"/>
  <c r="L59" i="14"/>
  <c r="O59" i="14" s="1"/>
  <c r="L69" i="14"/>
  <c r="O69" i="14" s="1"/>
  <c r="L72" i="14"/>
  <c r="O72" i="14" s="1"/>
  <c r="M280" i="14"/>
  <c r="P280" i="14" s="1"/>
  <c r="L391" i="14"/>
  <c r="O391" i="14" s="1"/>
  <c r="L395" i="14"/>
  <c r="O395" i="14" s="1"/>
  <c r="L43" i="15"/>
  <c r="L41" i="15" s="1"/>
  <c r="N55" i="15"/>
  <c r="N53" i="15" s="1"/>
  <c r="L69" i="15"/>
  <c r="O69" i="15" s="1"/>
  <c r="P137" i="15"/>
  <c r="L167" i="15"/>
  <c r="L165" i="15" s="1"/>
  <c r="L279" i="15"/>
  <c r="L277" i="15" s="1"/>
  <c r="K309" i="15"/>
  <c r="L405" i="15"/>
  <c r="O405" i="15" s="1"/>
  <c r="K561" i="15"/>
  <c r="O641" i="15"/>
  <c r="M171" i="14"/>
  <c r="P171" i="14" s="1"/>
  <c r="L408" i="14"/>
  <c r="O408" i="14" s="1"/>
  <c r="L91" i="15"/>
  <c r="O91" i="15" s="1"/>
  <c r="L183" i="15"/>
  <c r="L181" i="15" s="1"/>
  <c r="O184" i="15"/>
  <c r="L283" i="15"/>
  <c r="O283" i="15" s="1"/>
  <c r="L187" i="15"/>
  <c r="O187" i="15" s="1"/>
  <c r="L217" i="15"/>
  <c r="O217" i="15" s="1"/>
  <c r="N283" i="15"/>
  <c r="K338" i="15"/>
  <c r="N405" i="15"/>
  <c r="K460" i="15"/>
  <c r="K365" i="7"/>
  <c r="P170" i="9"/>
  <c r="I364" i="9"/>
  <c r="M23" i="15"/>
  <c r="M21" i="15" s="1"/>
  <c r="O61" i="15"/>
  <c r="L198" i="15"/>
  <c r="O198" i="15" s="1"/>
  <c r="L300" i="15"/>
  <c r="L298" i="15" s="1"/>
  <c r="M264" i="15"/>
  <c r="P264" i="15" s="1"/>
  <c r="N263" i="15"/>
  <c r="N261" i="15" s="1"/>
  <c r="O282" i="15"/>
  <c r="O303" i="15"/>
  <c r="N300" i="15"/>
  <c r="N298" i="15" s="1"/>
  <c r="K340" i="15"/>
  <c r="L447" i="15"/>
  <c r="L36" i="15"/>
  <c r="L34" i="15" s="1"/>
  <c r="O34" i="15" s="1"/>
  <c r="J364" i="15"/>
  <c r="P91" i="15"/>
  <c r="P301" i="15"/>
  <c r="N263" i="12"/>
  <c r="N261" i="12" s="1"/>
  <c r="I276" i="12"/>
  <c r="K276" i="12" s="1"/>
  <c r="N279" i="12"/>
  <c r="N277" i="12" s="1"/>
  <c r="M43" i="15"/>
  <c r="M41" i="15" s="1"/>
  <c r="M47" i="15"/>
  <c r="P47" i="15" s="1"/>
  <c r="L55" i="15"/>
  <c r="L53" i="15" s="1"/>
  <c r="O58" i="15"/>
  <c r="M69" i="15"/>
  <c r="P69" i="15" s="1"/>
  <c r="M121" i="15"/>
  <c r="M125" i="15"/>
  <c r="P125" i="15" s="1"/>
  <c r="K224" i="15"/>
  <c r="I260" i="15"/>
  <c r="K260" i="15" s="1"/>
  <c r="O266" i="15"/>
  <c r="M331" i="15"/>
  <c r="P331" i="15" s="1"/>
  <c r="N348" i="15"/>
  <c r="O348" i="15" s="1"/>
  <c r="K374" i="15"/>
  <c r="K381" i="15"/>
  <c r="M424" i="15"/>
  <c r="O472" i="15"/>
  <c r="M549" i="15"/>
  <c r="M546" i="15" s="1"/>
  <c r="P546" i="15" s="1"/>
  <c r="K569" i="15"/>
  <c r="K675" i="15"/>
  <c r="I260" i="11"/>
  <c r="K260" i="11" s="1"/>
  <c r="M183" i="14"/>
  <c r="M181" i="14" s="1"/>
  <c r="I233" i="14"/>
  <c r="K233" i="14" s="1"/>
  <c r="L330" i="14"/>
  <c r="L328" i="14" s="1"/>
  <c r="N43" i="15"/>
  <c r="N41" i="15" s="1"/>
  <c r="L59" i="15"/>
  <c r="O59" i="15" s="1"/>
  <c r="P71" i="15"/>
  <c r="N121" i="15"/>
  <c r="N119" i="15" s="1"/>
  <c r="M134" i="15"/>
  <c r="O138" i="15"/>
  <c r="L155" i="15"/>
  <c r="O155" i="15" s="1"/>
  <c r="L263" i="15"/>
  <c r="P266" i="15"/>
  <c r="I275" i="15"/>
  <c r="K275" i="15" s="1"/>
  <c r="P285" i="15"/>
  <c r="K297" i="15"/>
  <c r="M300" i="15"/>
  <c r="N304" i="15"/>
  <c r="L317" i="15"/>
  <c r="L315" i="15" s="1"/>
  <c r="M317" i="15"/>
  <c r="M315" i="15" s="1"/>
  <c r="O333" i="15"/>
  <c r="K369" i="15"/>
  <c r="L392" i="15"/>
  <c r="O392" i="15" s="1"/>
  <c r="M404" i="15"/>
  <c r="L454" i="15"/>
  <c r="O454" i="15" s="1"/>
  <c r="O456" i="15"/>
  <c r="K462" i="15"/>
  <c r="L469" i="15"/>
  <c r="L467" i="15" s="1"/>
  <c r="L657" i="15"/>
  <c r="O657" i="15" s="1"/>
  <c r="J721" i="15"/>
  <c r="K821" i="15"/>
  <c r="K824" i="15"/>
  <c r="K827" i="15"/>
  <c r="L230" i="13"/>
  <c r="L658" i="13"/>
  <c r="O658" i="13" s="1"/>
  <c r="O93" i="14"/>
  <c r="M330" i="14"/>
  <c r="M328" i="14" s="1"/>
  <c r="L688" i="14"/>
  <c r="O688" i="14" s="1"/>
  <c r="L33" i="15"/>
  <c r="M135" i="15"/>
  <c r="P135" i="15" s="1"/>
  <c r="M155" i="15"/>
  <c r="P155" i="15" s="1"/>
  <c r="K174" i="15"/>
  <c r="P189" i="15"/>
  <c r="L229" i="15"/>
  <c r="O320" i="15"/>
  <c r="M334" i="15"/>
  <c r="P334" i="15" s="1"/>
  <c r="L395" i="15"/>
  <c r="O395" i="15" s="1"/>
  <c r="L470" i="15"/>
  <c r="L546" i="15"/>
  <c r="L544" i="15" s="1"/>
  <c r="O544" i="15" s="1"/>
  <c r="M167" i="14"/>
  <c r="M165" i="14" s="1"/>
  <c r="L283" i="14"/>
  <c r="O283" i="14" s="1"/>
  <c r="I77" i="15"/>
  <c r="I65" i="15" s="1"/>
  <c r="K65" i="15" s="1"/>
  <c r="K87" i="15"/>
  <c r="I112" i="15"/>
  <c r="K112" i="15" s="1"/>
  <c r="M122" i="15"/>
  <c r="P122" i="15" s="1"/>
  <c r="P157" i="15"/>
  <c r="P170" i="15"/>
  <c r="M279" i="15"/>
  <c r="O318" i="15"/>
  <c r="L321" i="15"/>
  <c r="O321" i="15" s="1"/>
  <c r="O350" i="15"/>
  <c r="K365" i="15"/>
  <c r="L26" i="15"/>
  <c r="L209" i="15"/>
  <c r="O209" i="15" s="1"/>
  <c r="L280" i="15"/>
  <c r="O280" i="15" s="1"/>
  <c r="K359" i="15"/>
  <c r="K378" i="15"/>
  <c r="L446" i="15"/>
  <c r="L444" i="15" s="1"/>
  <c r="O444" i="15" s="1"/>
  <c r="L526" i="15"/>
  <c r="O526" i="15" s="1"/>
  <c r="K674" i="15"/>
  <c r="L788" i="15"/>
  <c r="O788" i="15" s="1"/>
  <c r="N28" i="15"/>
  <c r="P138" i="15"/>
  <c r="O19" i="15"/>
  <c r="O15" i="15"/>
  <c r="P61" i="15"/>
  <c r="M59" i="15"/>
  <c r="P59" i="15" s="1"/>
  <c r="O262" i="15"/>
  <c r="P788" i="15"/>
  <c r="M786" i="15"/>
  <c r="P786" i="15" s="1"/>
  <c r="M55" i="11"/>
  <c r="M53" i="11" s="1"/>
  <c r="N134" i="11"/>
  <c r="N132" i="11" s="1"/>
  <c r="P91" i="14"/>
  <c r="K146" i="14"/>
  <c r="L155" i="14"/>
  <c r="O155" i="14" s="1"/>
  <c r="J288" i="14"/>
  <c r="J275" i="14" s="1"/>
  <c r="L318" i="14"/>
  <c r="O318" i="14" s="1"/>
  <c r="O660" i="14"/>
  <c r="N19" i="15"/>
  <c r="N23" i="15"/>
  <c r="N26" i="15"/>
  <c r="N24" i="15" s="1"/>
  <c r="O35" i="15"/>
  <c r="N44" i="15"/>
  <c r="O44" i="15" s="1"/>
  <c r="P46" i="15"/>
  <c r="L88" i="15"/>
  <c r="M90" i="15"/>
  <c r="K99" i="15"/>
  <c r="L122" i="15"/>
  <c r="O122" i="15" s="1"/>
  <c r="O140" i="15"/>
  <c r="P168" i="15"/>
  <c r="M183" i="15"/>
  <c r="M181" i="15" s="1"/>
  <c r="P184" i="15"/>
  <c r="O186" i="15"/>
  <c r="L249" i="15"/>
  <c r="O249" i="15" s="1"/>
  <c r="O269" i="15"/>
  <c r="I276" i="15"/>
  <c r="K276" i="15" s="1"/>
  <c r="O299" i="15"/>
  <c r="M304" i="15"/>
  <c r="P304" i="15" s="1"/>
  <c r="O390" i="15"/>
  <c r="P738" i="15"/>
  <c r="M737" i="15"/>
  <c r="P737" i="15" s="1"/>
  <c r="P807" i="15"/>
  <c r="M805" i="15"/>
  <c r="P805" i="15" s="1"/>
  <c r="L122" i="14"/>
  <c r="O122" i="14" s="1"/>
  <c r="M263" i="14"/>
  <c r="M261" i="14" s="1"/>
  <c r="P269" i="14"/>
  <c r="L300" i="14"/>
  <c r="O350" i="14"/>
  <c r="L29" i="15"/>
  <c r="N56" i="15"/>
  <c r="O56" i="15" s="1"/>
  <c r="P58" i="15"/>
  <c r="K100" i="15"/>
  <c r="L121" i="15"/>
  <c r="O121" i="15" s="1"/>
  <c r="L134" i="15"/>
  <c r="L132" i="15" s="1"/>
  <c r="P140" i="15"/>
  <c r="O170" i="15"/>
  <c r="N167" i="15"/>
  <c r="N165" i="15" s="1"/>
  <c r="N183" i="15"/>
  <c r="P186" i="15"/>
  <c r="L238" i="15"/>
  <c r="L228" i="15"/>
  <c r="O316" i="15"/>
  <c r="N317" i="15"/>
  <c r="P353" i="15"/>
  <c r="M351" i="15"/>
  <c r="P351" i="15" s="1"/>
  <c r="N523" i="15"/>
  <c r="K145" i="15"/>
  <c r="I143" i="15"/>
  <c r="L68" i="14"/>
  <c r="N68" i="14"/>
  <c r="N66" i="14" s="1"/>
  <c r="I77" i="14"/>
  <c r="I65" i="14" s="1"/>
  <c r="K65" i="14" s="1"/>
  <c r="N122" i="14"/>
  <c r="L301" i="14"/>
  <c r="O301" i="14" s="1"/>
  <c r="P303" i="14"/>
  <c r="O22" i="15"/>
  <c r="P93" i="15"/>
  <c r="I86" i="15"/>
  <c r="K86" i="15" s="1"/>
  <c r="K98" i="15"/>
  <c r="O137" i="15"/>
  <c r="J143" i="15"/>
  <c r="J131" i="15" s="1"/>
  <c r="L334" i="15"/>
  <c r="O334" i="15" s="1"/>
  <c r="P278" i="15"/>
  <c r="I417" i="15"/>
  <c r="P771" i="15"/>
  <c r="M770" i="15"/>
  <c r="P770" i="15" s="1"/>
  <c r="I275" i="14"/>
  <c r="K275" i="14" s="1"/>
  <c r="L12" i="15"/>
  <c r="M55" i="15"/>
  <c r="N134" i="15"/>
  <c r="N132" i="15" s="1"/>
  <c r="P346" i="15"/>
  <c r="M280" i="15"/>
  <c r="P280" i="15" s="1"/>
  <c r="P282" i="15"/>
  <c r="K821" i="10"/>
  <c r="K824" i="10"/>
  <c r="I76" i="14"/>
  <c r="K76" i="14" s="1"/>
  <c r="P93" i="14"/>
  <c r="P184" i="14"/>
  <c r="K338" i="14"/>
  <c r="K537" i="14"/>
  <c r="J722" i="14"/>
  <c r="M12" i="15"/>
  <c r="L23" i="15"/>
  <c r="L21" i="15" s="1"/>
  <c r="P29" i="15"/>
  <c r="M34" i="15"/>
  <c r="P34" i="15" s="1"/>
  <c r="O54" i="15"/>
  <c r="N68" i="15"/>
  <c r="O71" i="15"/>
  <c r="K81" i="15"/>
  <c r="O150" i="15"/>
  <c r="L151" i="15"/>
  <c r="M171" i="15"/>
  <c r="P171" i="15" s="1"/>
  <c r="P173" i="15"/>
  <c r="I208" i="15"/>
  <c r="K208" i="15" s="1"/>
  <c r="K216" i="15"/>
  <c r="L304" i="15"/>
  <c r="O304" i="15" s="1"/>
  <c r="O306" i="15"/>
  <c r="P316" i="15"/>
  <c r="P320" i="15"/>
  <c r="M321" i="15"/>
  <c r="P321" i="15" s="1"/>
  <c r="P323" i="15"/>
  <c r="N330" i="15"/>
  <c r="N328" i="15" s="1"/>
  <c r="L330" i="15"/>
  <c r="K288" i="15"/>
  <c r="O301" i="15"/>
  <c r="P333" i="15"/>
  <c r="O351" i="15"/>
  <c r="J355" i="15"/>
  <c r="K355" i="15" s="1"/>
  <c r="K362" i="15"/>
  <c r="P445" i="15"/>
  <c r="P687" i="15"/>
  <c r="M685" i="15"/>
  <c r="P685" i="15" s="1"/>
  <c r="K244" i="15"/>
  <c r="I237" i="15"/>
  <c r="I233" i="15"/>
  <c r="K233" i="15" s="1"/>
  <c r="K255" i="15"/>
  <c r="I248" i="15"/>
  <c r="K248" i="15" s="1"/>
  <c r="O264" i="15"/>
  <c r="P318" i="15"/>
  <c r="O549" i="15"/>
  <c r="N546" i="15"/>
  <c r="N547" i="15"/>
  <c r="O547" i="15" s="1"/>
  <c r="M469" i="15"/>
  <c r="M470" i="15"/>
  <c r="P472" i="15"/>
  <c r="P394" i="15"/>
  <c r="M392" i="15"/>
  <c r="P392" i="15" s="1"/>
  <c r="M391" i="15"/>
  <c r="P391" i="15" s="1"/>
  <c r="N447" i="15"/>
  <c r="N446" i="15"/>
  <c r="N444" i="15" s="1"/>
  <c r="P350" i="15"/>
  <c r="M348" i="15"/>
  <c r="M347" i="15"/>
  <c r="P449" i="15"/>
  <c r="M525" i="15"/>
  <c r="M526" i="15"/>
  <c r="P526" i="15" s="1"/>
  <c r="P528" i="15"/>
  <c r="J537" i="15"/>
  <c r="J522" i="15" s="1"/>
  <c r="K522" i="15" s="1"/>
  <c r="K538" i="15"/>
  <c r="O545" i="15"/>
  <c r="O787" i="15"/>
  <c r="I785" i="15"/>
  <c r="K785" i="15" s="1"/>
  <c r="K800" i="15"/>
  <c r="O806" i="15"/>
  <c r="L805" i="15"/>
  <c r="O805" i="15" s="1"/>
  <c r="O353" i="15"/>
  <c r="I364" i="15"/>
  <c r="K379" i="15"/>
  <c r="O424" i="15"/>
  <c r="K465" i="15"/>
  <c r="N544" i="15"/>
  <c r="O686" i="15"/>
  <c r="P397" i="15"/>
  <c r="M395" i="15"/>
  <c r="P395" i="15" s="1"/>
  <c r="K440" i="15"/>
  <c r="I434" i="15"/>
  <c r="N469" i="15"/>
  <c r="N470" i="15"/>
  <c r="N525" i="15"/>
  <c r="N526" i="15"/>
  <c r="P755" i="15"/>
  <c r="M754" i="15"/>
  <c r="P754" i="15" s="1"/>
  <c r="N467" i="15"/>
  <c r="O503" i="15"/>
  <c r="L502" i="15"/>
  <c r="O502" i="15" s="1"/>
  <c r="L533" i="15"/>
  <c r="O533" i="15" s="1"/>
  <c r="L525" i="15"/>
  <c r="O525" i="15" s="1"/>
  <c r="O535" i="15"/>
  <c r="I543" i="15"/>
  <c r="K543" i="15" s="1"/>
  <c r="K559" i="15"/>
  <c r="K360" i="15"/>
  <c r="K370" i="15"/>
  <c r="O420" i="15"/>
  <c r="N422" i="15"/>
  <c r="O422" i="15" s="1"/>
  <c r="K435" i="15"/>
  <c r="J433" i="15"/>
  <c r="J417" i="15" s="1"/>
  <c r="M446" i="15"/>
  <c r="P446" i="15" s="1"/>
  <c r="M447" i="15"/>
  <c r="P447" i="15" s="1"/>
  <c r="L632" i="15"/>
  <c r="O632" i="15" s="1"/>
  <c r="O634" i="15"/>
  <c r="L421" i="15"/>
  <c r="O421" i="15" s="1"/>
  <c r="O449" i="15"/>
  <c r="O524" i="15"/>
  <c r="M545" i="15"/>
  <c r="L555" i="15"/>
  <c r="O555" i="15" s="1"/>
  <c r="I654" i="15"/>
  <c r="K654" i="15" s="1"/>
  <c r="L658" i="15"/>
  <c r="O658" i="15" s="1"/>
  <c r="O557" i="15"/>
  <c r="K593" i="15"/>
  <c r="M629" i="15"/>
  <c r="P629" i="15" s="1"/>
  <c r="K576" i="15"/>
  <c r="K651" i="15"/>
  <c r="K672" i="15"/>
  <c r="L688" i="15"/>
  <c r="O688" i="15" s="1"/>
  <c r="K669" i="15"/>
  <c r="L687" i="15"/>
  <c r="O687" i="15" s="1"/>
  <c r="N121" i="13"/>
  <c r="N119" i="13" s="1"/>
  <c r="I260" i="13"/>
  <c r="K260" i="13" s="1"/>
  <c r="P303" i="13"/>
  <c r="N391" i="14"/>
  <c r="N389" i="14" s="1"/>
  <c r="N395" i="14"/>
  <c r="M167" i="13"/>
  <c r="M165" i="13" s="1"/>
  <c r="L279" i="13"/>
  <c r="O279" i="13" s="1"/>
  <c r="M391" i="13"/>
  <c r="P391" i="13" s="1"/>
  <c r="N280" i="14"/>
  <c r="N279" i="14"/>
  <c r="N277" i="14" s="1"/>
  <c r="L55" i="13"/>
  <c r="L53" i="13" s="1"/>
  <c r="L134" i="13"/>
  <c r="L132" i="13" s="1"/>
  <c r="I276" i="13"/>
  <c r="K276" i="13" s="1"/>
  <c r="L280" i="13"/>
  <c r="O280" i="13" s="1"/>
  <c r="K98" i="14"/>
  <c r="I86" i="14"/>
  <c r="K86" i="14" s="1"/>
  <c r="O137" i="14"/>
  <c r="L135" i="14"/>
  <c r="O135" i="14" s="1"/>
  <c r="L134" i="14"/>
  <c r="O134" i="14" s="1"/>
  <c r="O306" i="14"/>
  <c r="L304" i="14"/>
  <c r="O304" i="14" s="1"/>
  <c r="M404" i="14"/>
  <c r="M55" i="8"/>
  <c r="M53" i="8" s="1"/>
  <c r="L69" i="13"/>
  <c r="O69" i="13" s="1"/>
  <c r="I433" i="14"/>
  <c r="I417" i="14" s="1"/>
  <c r="J433" i="14"/>
  <c r="J417" i="14" s="1"/>
  <c r="J537" i="13"/>
  <c r="K537" i="13" s="1"/>
  <c r="O49" i="14"/>
  <c r="L263" i="14"/>
  <c r="L261" i="14" s="1"/>
  <c r="O282" i="14"/>
  <c r="L348" i="14"/>
  <c r="O348" i="14" s="1"/>
  <c r="L405" i="14"/>
  <c r="O405" i="14" s="1"/>
  <c r="O407" i="14"/>
  <c r="L631" i="14"/>
  <c r="O631" i="14" s="1"/>
  <c r="L121" i="14"/>
  <c r="O121" i="14" s="1"/>
  <c r="L231" i="14"/>
  <c r="L279" i="14"/>
  <c r="M321" i="14"/>
  <c r="P321" i="14" s="1"/>
  <c r="K355" i="14"/>
  <c r="L657" i="14"/>
  <c r="K672" i="14"/>
  <c r="K821" i="14"/>
  <c r="K824" i="14"/>
  <c r="K827" i="14"/>
  <c r="L55" i="14"/>
  <c r="L53" i="14" s="1"/>
  <c r="P152" i="14"/>
  <c r="K340" i="14"/>
  <c r="I364" i="14"/>
  <c r="I434" i="14"/>
  <c r="I418" i="14" s="1"/>
  <c r="K418" i="14" s="1"/>
  <c r="O557" i="14"/>
  <c r="N69" i="14"/>
  <c r="M94" i="14"/>
  <c r="P94" i="14" s="1"/>
  <c r="L238" i="14"/>
  <c r="O238" i="14" s="1"/>
  <c r="K359" i="14"/>
  <c r="K385" i="14"/>
  <c r="O394" i="14"/>
  <c r="K576" i="14"/>
  <c r="K651" i="14"/>
  <c r="L26" i="14"/>
  <c r="L24" i="14" s="1"/>
  <c r="O96" i="14"/>
  <c r="L94" i="14"/>
  <c r="O94" i="14" s="1"/>
  <c r="K159" i="14"/>
  <c r="I148" i="14"/>
  <c r="K148" i="14" s="1"/>
  <c r="P353" i="14"/>
  <c r="N347" i="14"/>
  <c r="N345" i="14" s="1"/>
  <c r="L33" i="14"/>
  <c r="O33" i="14" s="1"/>
  <c r="L422" i="14"/>
  <c r="O422" i="14" s="1"/>
  <c r="M424" i="14"/>
  <c r="M421" i="14" s="1"/>
  <c r="M419" i="14" s="1"/>
  <c r="N300" i="12"/>
  <c r="N298" i="12" s="1"/>
  <c r="M94" i="13"/>
  <c r="P94" i="13" s="1"/>
  <c r="P184" i="13"/>
  <c r="L151" i="14"/>
  <c r="O151" i="14" s="1"/>
  <c r="O154" i="14"/>
  <c r="L152" i="14"/>
  <c r="O152" i="14" s="1"/>
  <c r="L228" i="14"/>
  <c r="I314" i="14"/>
  <c r="K314" i="14" s="1"/>
  <c r="K325" i="14"/>
  <c r="N330" i="14"/>
  <c r="N328" i="14" s="1"/>
  <c r="N331" i="14"/>
  <c r="O331" i="14" s="1"/>
  <c r="N351" i="14"/>
  <c r="P351" i="14" s="1"/>
  <c r="M72" i="12"/>
  <c r="P72" i="12" s="1"/>
  <c r="N121" i="12"/>
  <c r="N119" i="12" s="1"/>
  <c r="M55" i="13"/>
  <c r="M53" i="13" s="1"/>
  <c r="L152" i="13"/>
  <c r="O152" i="13" s="1"/>
  <c r="P189" i="14"/>
  <c r="M187" i="14"/>
  <c r="P187" i="14" s="1"/>
  <c r="M69" i="14"/>
  <c r="P69" i="14" s="1"/>
  <c r="P71" i="14"/>
  <c r="O472" i="14"/>
  <c r="M472" i="14"/>
  <c r="L155" i="12"/>
  <c r="O155" i="12" s="1"/>
  <c r="M183" i="13"/>
  <c r="M181" i="13" s="1"/>
  <c r="O58" i="14"/>
  <c r="L56" i="14"/>
  <c r="O56" i="14" s="1"/>
  <c r="N317" i="12"/>
  <c r="N315" i="12" s="1"/>
  <c r="K99" i="14"/>
  <c r="I87" i="14"/>
  <c r="K87" i="14" s="1"/>
  <c r="M279" i="14"/>
  <c r="P285" i="14"/>
  <c r="M283" i="14"/>
  <c r="P283" i="14" s="1"/>
  <c r="J722" i="13"/>
  <c r="P49" i="14"/>
  <c r="M55" i="14"/>
  <c r="M53" i="14" s="1"/>
  <c r="I237" i="14"/>
  <c r="K237" i="14" s="1"/>
  <c r="L249" i="14"/>
  <c r="O249" i="14" s="1"/>
  <c r="O269" i="14"/>
  <c r="O333" i="14"/>
  <c r="O353" i="14"/>
  <c r="I442" i="14"/>
  <c r="K442" i="14" s="1"/>
  <c r="L43" i="14"/>
  <c r="L41" i="14" s="1"/>
  <c r="N55" i="14"/>
  <c r="N53" i="14" s="1"/>
  <c r="N151" i="14"/>
  <c r="N149" i="14" s="1"/>
  <c r="I174" i="14"/>
  <c r="I164" i="14" s="1"/>
  <c r="K164" i="14" s="1"/>
  <c r="O189" i="14"/>
  <c r="K204" i="14"/>
  <c r="K215" i="14"/>
  <c r="I248" i="14"/>
  <c r="K248" i="14" s="1"/>
  <c r="L317" i="14"/>
  <c r="K360" i="14"/>
  <c r="K369" i="14"/>
  <c r="N404" i="14"/>
  <c r="N402" i="14" s="1"/>
  <c r="K435" i="14"/>
  <c r="M279" i="13"/>
  <c r="P279" i="13" s="1"/>
  <c r="K338" i="13"/>
  <c r="L631" i="13"/>
  <c r="L629" i="13" s="1"/>
  <c r="O629" i="13" s="1"/>
  <c r="N43" i="14"/>
  <c r="N41" i="14" s="1"/>
  <c r="P44" i="14"/>
  <c r="P59" i="14"/>
  <c r="M90" i="14"/>
  <c r="L90" i="14"/>
  <c r="L88" i="14" s="1"/>
  <c r="M134" i="14"/>
  <c r="P134" i="14" s="1"/>
  <c r="P170" i="14"/>
  <c r="L209" i="14"/>
  <c r="O209" i="14" s="1"/>
  <c r="L217" i="14"/>
  <c r="O217" i="14" s="1"/>
  <c r="K378" i="14"/>
  <c r="L789" i="14"/>
  <c r="O789" i="14" s="1"/>
  <c r="O44" i="14"/>
  <c r="I112" i="14"/>
  <c r="K112" i="14" s="1"/>
  <c r="O184" i="14"/>
  <c r="N263" i="14"/>
  <c r="N300" i="14"/>
  <c r="N298" i="14" s="1"/>
  <c r="J327" i="14"/>
  <c r="K327" i="14" s="1"/>
  <c r="K374" i="14"/>
  <c r="M280" i="13"/>
  <c r="P280" i="13" s="1"/>
  <c r="L283" i="13"/>
  <c r="O283" i="13" s="1"/>
  <c r="M347" i="13"/>
  <c r="L91" i="14"/>
  <c r="O91" i="14" s="1"/>
  <c r="K115" i="14"/>
  <c r="N135" i="14"/>
  <c r="L138" i="14"/>
  <c r="O138" i="14" s="1"/>
  <c r="O170" i="14"/>
  <c r="P266" i="14"/>
  <c r="O323" i="14"/>
  <c r="P336" i="14"/>
  <c r="L525" i="14"/>
  <c r="J537" i="14"/>
  <c r="J522" i="14" s="1"/>
  <c r="K143" i="14"/>
  <c r="I131" i="14"/>
  <c r="K131" i="14" s="1"/>
  <c r="N347" i="13"/>
  <c r="N345" i="13" s="1"/>
  <c r="M348" i="14"/>
  <c r="P348" i="14" s="1"/>
  <c r="P350" i="14"/>
  <c r="M347" i="14"/>
  <c r="L429" i="14"/>
  <c r="O429" i="14" s="1"/>
  <c r="L421" i="14"/>
  <c r="L419" i="14" s="1"/>
  <c r="O431" i="14"/>
  <c r="P807" i="14"/>
  <c r="M805" i="14"/>
  <c r="P805" i="14" s="1"/>
  <c r="J721" i="11"/>
  <c r="M122" i="12"/>
  <c r="P122" i="12" s="1"/>
  <c r="K338" i="12"/>
  <c r="K362" i="12"/>
  <c r="K822" i="12"/>
  <c r="K828" i="12"/>
  <c r="L122" i="13"/>
  <c r="O122" i="13" s="1"/>
  <c r="I130" i="13"/>
  <c r="K130" i="13" s="1"/>
  <c r="L187" i="13"/>
  <c r="O187" i="13" s="1"/>
  <c r="L231" i="13"/>
  <c r="L267" i="13"/>
  <c r="O267" i="13" s="1"/>
  <c r="M283" i="13"/>
  <c r="P283" i="13" s="1"/>
  <c r="O336" i="13"/>
  <c r="O350" i="13"/>
  <c r="K370" i="13"/>
  <c r="K378" i="13"/>
  <c r="K381" i="13"/>
  <c r="M404" i="13"/>
  <c r="P404" i="13" s="1"/>
  <c r="N12" i="14"/>
  <c r="L23" i="14"/>
  <c r="M26" i="14"/>
  <c r="L29" i="14"/>
  <c r="O46" i="14"/>
  <c r="N23" i="14"/>
  <c r="P56" i="14"/>
  <c r="P61" i="14"/>
  <c r="P74" i="14"/>
  <c r="K145" i="14"/>
  <c r="P186" i="14"/>
  <c r="K190" i="14"/>
  <c r="L198" i="14"/>
  <c r="O198" i="14" s="1"/>
  <c r="I260" i="14"/>
  <c r="K260" i="14" s="1"/>
  <c r="K309" i="14"/>
  <c r="I297" i="14"/>
  <c r="K297" i="14" s="1"/>
  <c r="O329" i="14"/>
  <c r="L547" i="14"/>
  <c r="O547" i="14" s="1"/>
  <c r="O549" i="14"/>
  <c r="M549" i="14"/>
  <c r="L546" i="14"/>
  <c r="O686" i="14"/>
  <c r="P738" i="14"/>
  <c r="M737" i="14"/>
  <c r="P737" i="14" s="1"/>
  <c r="P771" i="14"/>
  <c r="M770" i="14"/>
  <c r="P770" i="14" s="1"/>
  <c r="P788" i="14"/>
  <c r="M786" i="14"/>
  <c r="P786" i="14" s="1"/>
  <c r="O549" i="12"/>
  <c r="M187" i="13"/>
  <c r="P187" i="13" s="1"/>
  <c r="I216" i="13"/>
  <c r="K216" i="13" s="1"/>
  <c r="L228" i="13"/>
  <c r="P285" i="13"/>
  <c r="I314" i="13"/>
  <c r="K314" i="13" s="1"/>
  <c r="N404" i="13"/>
  <c r="N402" i="13" s="1"/>
  <c r="L15" i="14"/>
  <c r="M23" i="14"/>
  <c r="P46" i="14"/>
  <c r="P140" i="14"/>
  <c r="L229" i="14"/>
  <c r="J365" i="14"/>
  <c r="K372" i="14"/>
  <c r="K204" i="13"/>
  <c r="L209" i="13"/>
  <c r="O209" i="13" s="1"/>
  <c r="N301" i="13"/>
  <c r="O301" i="13" s="1"/>
  <c r="L330" i="13"/>
  <c r="L328" i="13" s="1"/>
  <c r="M660" i="13"/>
  <c r="M657" i="13" s="1"/>
  <c r="P657" i="13" s="1"/>
  <c r="K674" i="13"/>
  <c r="K821" i="13"/>
  <c r="K824" i="13"/>
  <c r="K827" i="13"/>
  <c r="M9" i="14"/>
  <c r="L19" i="14"/>
  <c r="O32" i="14"/>
  <c r="O35" i="14"/>
  <c r="M43" i="14"/>
  <c r="P58" i="14"/>
  <c r="P67" i="14"/>
  <c r="P127" i="14"/>
  <c r="P157" i="14"/>
  <c r="L183" i="14"/>
  <c r="O186" i="14"/>
  <c r="K197" i="14"/>
  <c r="K225" i="14"/>
  <c r="N264" i="14"/>
  <c r="O264" i="14" s="1"/>
  <c r="O266" i="14"/>
  <c r="N318" i="14"/>
  <c r="N317" i="14"/>
  <c r="N315" i="14" s="1"/>
  <c r="M331" i="14"/>
  <c r="P333" i="14"/>
  <c r="M395" i="14"/>
  <c r="P395" i="14" s="1"/>
  <c r="P397" i="14"/>
  <c r="M391" i="14"/>
  <c r="I87" i="13"/>
  <c r="K87" i="13" s="1"/>
  <c r="L36" i="14"/>
  <c r="L34" i="14" s="1"/>
  <c r="O34" i="14" s="1"/>
  <c r="N26" i="14"/>
  <c r="M121" i="14"/>
  <c r="P121" i="14" s="1"/>
  <c r="M151" i="14"/>
  <c r="M149" i="14" s="1"/>
  <c r="M304" i="14"/>
  <c r="P304" i="14" s="1"/>
  <c r="P306" i="14"/>
  <c r="K462" i="14"/>
  <c r="I443" i="14"/>
  <c r="K443" i="14" s="1"/>
  <c r="K379" i="12"/>
  <c r="P186" i="13"/>
  <c r="P318" i="13"/>
  <c r="P331" i="13"/>
  <c r="K369" i="13"/>
  <c r="K372" i="13"/>
  <c r="N391" i="13"/>
  <c r="N389" i="13" s="1"/>
  <c r="K822" i="13"/>
  <c r="K828" i="13"/>
  <c r="L12" i="14"/>
  <c r="O22" i="14"/>
  <c r="O25" i="14"/>
  <c r="M68" i="14"/>
  <c r="P68" i="14" s="1"/>
  <c r="K100" i="14"/>
  <c r="P124" i="14"/>
  <c r="P137" i="14"/>
  <c r="K144" i="14"/>
  <c r="J143" i="14"/>
  <c r="J131" i="14" s="1"/>
  <c r="P154" i="14"/>
  <c r="N167" i="14"/>
  <c r="N183" i="14"/>
  <c r="N181" i="14" s="1"/>
  <c r="I276" i="14"/>
  <c r="K276" i="14" s="1"/>
  <c r="P316" i="14"/>
  <c r="M29" i="14"/>
  <c r="K362" i="14"/>
  <c r="K370" i="14"/>
  <c r="O424" i="14"/>
  <c r="N421" i="14"/>
  <c r="N419" i="14" s="1"/>
  <c r="K569" i="14"/>
  <c r="O787" i="14"/>
  <c r="I785" i="14"/>
  <c r="K785" i="14" s="1"/>
  <c r="K800" i="14"/>
  <c r="O806" i="14"/>
  <c r="L805" i="14"/>
  <c r="O805" i="14" s="1"/>
  <c r="O420" i="14"/>
  <c r="L454" i="14"/>
  <c r="O454" i="14" s="1"/>
  <c r="O456" i="14"/>
  <c r="L446" i="14"/>
  <c r="N546" i="14"/>
  <c r="N544" i="14" s="1"/>
  <c r="N547" i="14"/>
  <c r="O390" i="14"/>
  <c r="I543" i="14"/>
  <c r="K543" i="14" s="1"/>
  <c r="K559" i="14"/>
  <c r="P755" i="14"/>
  <c r="M754" i="14"/>
  <c r="P754" i="14" s="1"/>
  <c r="M300" i="14"/>
  <c r="P300" i="14" s="1"/>
  <c r="M318" i="14"/>
  <c r="P318" i="14" s="1"/>
  <c r="K379" i="14"/>
  <c r="K381" i="14"/>
  <c r="M392" i="14"/>
  <c r="P392" i="14" s="1"/>
  <c r="P394" i="14"/>
  <c r="P503" i="14"/>
  <c r="M502" i="14"/>
  <c r="P502" i="14" s="1"/>
  <c r="P687" i="14"/>
  <c r="M685" i="14"/>
  <c r="P685" i="14" s="1"/>
  <c r="N789" i="14"/>
  <c r="O346" i="14"/>
  <c r="L632" i="14"/>
  <c r="O632" i="14" s="1"/>
  <c r="O634" i="14"/>
  <c r="M405" i="14"/>
  <c r="P405" i="14" s="1"/>
  <c r="M408" i="14"/>
  <c r="P408" i="14" s="1"/>
  <c r="P468" i="14"/>
  <c r="L470" i="14"/>
  <c r="O470" i="14" s="1"/>
  <c r="P524" i="14"/>
  <c r="L526" i="14"/>
  <c r="O526" i="14" s="1"/>
  <c r="I654" i="14"/>
  <c r="K654" i="14" s="1"/>
  <c r="P656" i="14"/>
  <c r="L469" i="14"/>
  <c r="L477" i="14"/>
  <c r="O477" i="14" s="1"/>
  <c r="K675" i="14"/>
  <c r="K593" i="14"/>
  <c r="K669" i="14"/>
  <c r="L687" i="14"/>
  <c r="O687" i="14" s="1"/>
  <c r="M134" i="13"/>
  <c r="M132" i="13" s="1"/>
  <c r="L151" i="13"/>
  <c r="L183" i="13"/>
  <c r="L181" i="13" s="1"/>
  <c r="N317" i="13"/>
  <c r="N315" i="13" s="1"/>
  <c r="N351" i="13"/>
  <c r="O351" i="13" s="1"/>
  <c r="O353" i="13"/>
  <c r="O394" i="13"/>
  <c r="M528" i="13"/>
  <c r="P528" i="13" s="1"/>
  <c r="L632" i="13"/>
  <c r="K649" i="13"/>
  <c r="K372" i="7"/>
  <c r="L90" i="13"/>
  <c r="L88" i="13" s="1"/>
  <c r="I275" i="13"/>
  <c r="K275" i="13" s="1"/>
  <c r="L526" i="13"/>
  <c r="O526" i="13" s="1"/>
  <c r="N43" i="13"/>
  <c r="N41" i="13" s="1"/>
  <c r="L94" i="13"/>
  <c r="O94" i="13" s="1"/>
  <c r="I112" i="13"/>
  <c r="K112" i="13" s="1"/>
  <c r="N183" i="13"/>
  <c r="O282" i="13"/>
  <c r="N330" i="13"/>
  <c r="K340" i="13"/>
  <c r="I364" i="13"/>
  <c r="M424" i="13"/>
  <c r="M421" i="13" s="1"/>
  <c r="P421" i="13" s="1"/>
  <c r="I442" i="13"/>
  <c r="K442" i="13" s="1"/>
  <c r="I654" i="13"/>
  <c r="K654" i="13" s="1"/>
  <c r="L47" i="13"/>
  <c r="O47" i="13" s="1"/>
  <c r="M392" i="11"/>
  <c r="P392" i="11" s="1"/>
  <c r="M395" i="11"/>
  <c r="P395" i="11" s="1"/>
  <c r="N122" i="13"/>
  <c r="L155" i="13"/>
  <c r="O155" i="13" s="1"/>
  <c r="K288" i="13"/>
  <c r="I297" i="13"/>
  <c r="K297" i="13" s="1"/>
  <c r="P336" i="13"/>
  <c r="L347" i="13"/>
  <c r="L345" i="13" s="1"/>
  <c r="K374" i="13"/>
  <c r="O424" i="13"/>
  <c r="K628" i="13"/>
  <c r="N55" i="11"/>
  <c r="N53" i="11" s="1"/>
  <c r="M47" i="13"/>
  <c r="P47" i="13" s="1"/>
  <c r="L121" i="13"/>
  <c r="O127" i="13"/>
  <c r="L125" i="13"/>
  <c r="O125" i="13" s="1"/>
  <c r="O186" i="13"/>
  <c r="L184" i="13"/>
  <c r="O184" i="13" s="1"/>
  <c r="O306" i="13"/>
  <c r="L304" i="13"/>
  <c r="O304" i="13" s="1"/>
  <c r="L300" i="13"/>
  <c r="N392" i="13"/>
  <c r="O472" i="13"/>
  <c r="L469" i="13"/>
  <c r="O469" i="13" s="1"/>
  <c r="N404" i="12"/>
  <c r="N402" i="12" s="1"/>
  <c r="L33" i="13"/>
  <c r="O33" i="13" s="1"/>
  <c r="O303" i="13"/>
  <c r="N300" i="13"/>
  <c r="N298" i="13" s="1"/>
  <c r="P323" i="13"/>
  <c r="M321" i="13"/>
  <c r="P321" i="13" s="1"/>
  <c r="O407" i="13"/>
  <c r="L404" i="13"/>
  <c r="O404" i="13" s="1"/>
  <c r="L405" i="13"/>
  <c r="O405" i="13" s="1"/>
  <c r="O410" i="13"/>
  <c r="L408" i="13"/>
  <c r="O408" i="13" s="1"/>
  <c r="K466" i="13"/>
  <c r="O535" i="13"/>
  <c r="L533" i="13"/>
  <c r="O533" i="13" s="1"/>
  <c r="L429" i="13"/>
  <c r="O429" i="13" s="1"/>
  <c r="L421" i="13"/>
  <c r="O421" i="13" s="1"/>
  <c r="O431" i="13"/>
  <c r="L36" i="13"/>
  <c r="I86" i="12"/>
  <c r="K86" i="12" s="1"/>
  <c r="K98" i="12"/>
  <c r="N334" i="12"/>
  <c r="N330" i="12"/>
  <c r="N328" i="12" s="1"/>
  <c r="L23" i="13"/>
  <c r="L21" i="13" s="1"/>
  <c r="L56" i="13"/>
  <c r="K78" i="13"/>
  <c r="I76" i="13"/>
  <c r="K76" i="13" s="1"/>
  <c r="P173" i="13"/>
  <c r="M171" i="13"/>
  <c r="P171" i="13" s="1"/>
  <c r="P320" i="13"/>
  <c r="M317" i="13"/>
  <c r="K435" i="13"/>
  <c r="I433" i="13"/>
  <c r="I417" i="13" s="1"/>
  <c r="O135" i="13"/>
  <c r="K159" i="13"/>
  <c r="I148" i="13"/>
  <c r="K148" i="13" s="1"/>
  <c r="L264" i="12"/>
  <c r="O264" i="12" s="1"/>
  <c r="L263" i="12"/>
  <c r="O74" i="13"/>
  <c r="L68" i="13"/>
  <c r="K98" i="13"/>
  <c r="I86" i="13"/>
  <c r="K86" i="13" s="1"/>
  <c r="M23" i="13"/>
  <c r="M168" i="13"/>
  <c r="L331" i="13"/>
  <c r="O331" i="13" s="1"/>
  <c r="O333" i="13"/>
  <c r="M347" i="11"/>
  <c r="M345" i="11" s="1"/>
  <c r="M348" i="11"/>
  <c r="K435" i="11"/>
  <c r="I433" i="11"/>
  <c r="I417" i="11" s="1"/>
  <c r="L72" i="12"/>
  <c r="O72" i="12" s="1"/>
  <c r="O74" i="12"/>
  <c r="K159" i="12"/>
  <c r="I148" i="12"/>
  <c r="K148" i="12" s="1"/>
  <c r="K215" i="12"/>
  <c r="I208" i="12"/>
  <c r="K208" i="12" s="1"/>
  <c r="K628" i="12"/>
  <c r="M72" i="13"/>
  <c r="P72" i="13" s="1"/>
  <c r="P74" i="13"/>
  <c r="K360" i="13"/>
  <c r="M632" i="13"/>
  <c r="M631" i="13"/>
  <c r="M629" i="13" s="1"/>
  <c r="P629" i="13" s="1"/>
  <c r="N300" i="9"/>
  <c r="N298" i="9" s="1"/>
  <c r="M300" i="11"/>
  <c r="P300" i="11" s="1"/>
  <c r="N183" i="12"/>
  <c r="N181" i="12" s="1"/>
  <c r="L405" i="12"/>
  <c r="O405" i="12" s="1"/>
  <c r="N68" i="13"/>
  <c r="N66" i="13" s="1"/>
  <c r="I77" i="13"/>
  <c r="I65" i="13" s="1"/>
  <c r="K65" i="13" s="1"/>
  <c r="M90" i="13"/>
  <c r="M88" i="13" s="1"/>
  <c r="P93" i="13"/>
  <c r="L249" i="13"/>
  <c r="O249" i="13" s="1"/>
  <c r="O320" i="13"/>
  <c r="J327" i="13"/>
  <c r="K327" i="13" s="1"/>
  <c r="O348" i="13"/>
  <c r="K385" i="13"/>
  <c r="O397" i="13"/>
  <c r="O641" i="13"/>
  <c r="K675" i="13"/>
  <c r="J721" i="13"/>
  <c r="L657" i="12"/>
  <c r="O58" i="13"/>
  <c r="O61" i="13"/>
  <c r="I174" i="13"/>
  <c r="K174" i="13" s="1"/>
  <c r="L263" i="13"/>
  <c r="L261" i="13" s="1"/>
  <c r="L391" i="13"/>
  <c r="O391" i="13" s="1"/>
  <c r="N56" i="13"/>
  <c r="P56" i="13" s="1"/>
  <c r="O137" i="13"/>
  <c r="L198" i="13"/>
  <c r="O198" i="13" s="1"/>
  <c r="L217" i="13"/>
  <c r="O217" i="13" s="1"/>
  <c r="K359" i="13"/>
  <c r="L525" i="13"/>
  <c r="O525" i="13" s="1"/>
  <c r="L657" i="13"/>
  <c r="O657" i="13" s="1"/>
  <c r="L217" i="12"/>
  <c r="O217" i="12" s="1"/>
  <c r="L631" i="12"/>
  <c r="O631" i="12" s="1"/>
  <c r="K651" i="12"/>
  <c r="P44" i="13"/>
  <c r="P135" i="13"/>
  <c r="I233" i="13"/>
  <c r="K233" i="13" s="1"/>
  <c r="O264" i="13"/>
  <c r="O318" i="13"/>
  <c r="K355" i="13"/>
  <c r="K379" i="13"/>
  <c r="K647" i="13"/>
  <c r="K823" i="13"/>
  <c r="L429" i="6"/>
  <c r="O429" i="6" s="1"/>
  <c r="K193" i="11"/>
  <c r="I190" i="11"/>
  <c r="K190" i="11" s="1"/>
  <c r="P49" i="12"/>
  <c r="M47" i="12"/>
  <c r="P47" i="12" s="1"/>
  <c r="N55" i="12"/>
  <c r="N53" i="12" s="1"/>
  <c r="N56" i="12"/>
  <c r="P56" i="12" s="1"/>
  <c r="P154" i="12"/>
  <c r="M152" i="12"/>
  <c r="P152" i="12" s="1"/>
  <c r="P266" i="12"/>
  <c r="M264" i="12"/>
  <c r="P264" i="12" s="1"/>
  <c r="P320" i="12"/>
  <c r="M318" i="12"/>
  <c r="P318" i="12" s="1"/>
  <c r="O22" i="13"/>
  <c r="L19" i="13"/>
  <c r="L12" i="13"/>
  <c r="P262" i="13"/>
  <c r="P306" i="13"/>
  <c r="M304" i="13"/>
  <c r="P304" i="13" s="1"/>
  <c r="I559" i="13"/>
  <c r="K576" i="13"/>
  <c r="N629" i="13"/>
  <c r="L300" i="8"/>
  <c r="L298" i="8" s="1"/>
  <c r="O298" i="8" s="1"/>
  <c r="N135" i="11"/>
  <c r="L183" i="11"/>
  <c r="L181" i="11" s="1"/>
  <c r="L36" i="12"/>
  <c r="O36" i="12" s="1"/>
  <c r="M44" i="12"/>
  <c r="P44" i="12" s="1"/>
  <c r="M43" i="12"/>
  <c r="M41" i="12" s="1"/>
  <c r="M23" i="12"/>
  <c r="M21" i="12" s="1"/>
  <c r="P59" i="12"/>
  <c r="L152" i="12"/>
  <c r="O152" i="12" s="1"/>
  <c r="P157" i="12"/>
  <c r="M155" i="12"/>
  <c r="P155" i="12" s="1"/>
  <c r="M263" i="12"/>
  <c r="L348" i="12"/>
  <c r="O348" i="12" s="1"/>
  <c r="L347" i="12"/>
  <c r="L345" i="12" s="1"/>
  <c r="O15" i="13"/>
  <c r="N29" i="13"/>
  <c r="N28" i="13" s="1"/>
  <c r="N34" i="13"/>
  <c r="N26" i="13"/>
  <c r="K145" i="13"/>
  <c r="K193" i="13"/>
  <c r="I148" i="8"/>
  <c r="K148" i="8" s="1"/>
  <c r="L230" i="8"/>
  <c r="M26" i="12"/>
  <c r="M24" i="12" s="1"/>
  <c r="N405" i="12"/>
  <c r="N9" i="13"/>
  <c r="O46" i="13"/>
  <c r="L43" i="13"/>
  <c r="L41" i="13" s="1"/>
  <c r="N55" i="13"/>
  <c r="M125" i="13"/>
  <c r="P125" i="13" s="1"/>
  <c r="P127" i="13"/>
  <c r="I131" i="13"/>
  <c r="N134" i="13"/>
  <c r="N132" i="13" s="1"/>
  <c r="L238" i="13"/>
  <c r="L229" i="13"/>
  <c r="P278" i="13"/>
  <c r="L279" i="8"/>
  <c r="O279" i="8" s="1"/>
  <c r="L69" i="11"/>
  <c r="O69" i="11" s="1"/>
  <c r="L72" i="11"/>
  <c r="O72" i="11" s="1"/>
  <c r="M167" i="11"/>
  <c r="M165" i="11" s="1"/>
  <c r="M168" i="11"/>
  <c r="K372" i="11"/>
  <c r="M69" i="12"/>
  <c r="P69" i="12" s="1"/>
  <c r="P71" i="12"/>
  <c r="L121" i="12"/>
  <c r="L119" i="12" s="1"/>
  <c r="O119" i="12" s="1"/>
  <c r="M134" i="12"/>
  <c r="P134" i="12" s="1"/>
  <c r="M135" i="12"/>
  <c r="P135" i="12" s="1"/>
  <c r="K340" i="12"/>
  <c r="M395" i="12"/>
  <c r="P395" i="12" s="1"/>
  <c r="P397" i="12"/>
  <c r="N15" i="13"/>
  <c r="O29" i="13"/>
  <c r="L44" i="13"/>
  <c r="O44" i="13" s="1"/>
  <c r="P46" i="13"/>
  <c r="M43" i="13"/>
  <c r="O54" i="13"/>
  <c r="M59" i="13"/>
  <c r="M26" i="13"/>
  <c r="P61" i="13"/>
  <c r="P67" i="13"/>
  <c r="N91" i="13"/>
  <c r="O91" i="13" s="1"/>
  <c r="N90" i="13"/>
  <c r="O93" i="13"/>
  <c r="N23" i="13"/>
  <c r="N21" i="13" s="1"/>
  <c r="O133" i="13"/>
  <c r="M138" i="13"/>
  <c r="P138" i="13" s="1"/>
  <c r="P140" i="13"/>
  <c r="O173" i="13"/>
  <c r="L26" i="13"/>
  <c r="L167" i="13"/>
  <c r="O266" i="13"/>
  <c r="N263" i="13"/>
  <c r="O46" i="11"/>
  <c r="O61" i="12"/>
  <c r="L55" i="12"/>
  <c r="L53" i="12" s="1"/>
  <c r="L59" i="12"/>
  <c r="O59" i="12" s="1"/>
  <c r="O127" i="12"/>
  <c r="L125" i="12"/>
  <c r="O125" i="12" s="1"/>
  <c r="L168" i="12"/>
  <c r="O168" i="12" s="1"/>
  <c r="O170" i="12"/>
  <c r="P54" i="13"/>
  <c r="P133" i="13"/>
  <c r="O138" i="13"/>
  <c r="N151" i="13"/>
  <c r="N149" i="13" s="1"/>
  <c r="N168" i="13"/>
  <c r="N167" i="13"/>
  <c r="I208" i="13"/>
  <c r="K208" i="13" s="1"/>
  <c r="K215" i="13"/>
  <c r="N347" i="11"/>
  <c r="N345" i="11" s="1"/>
  <c r="I522" i="11"/>
  <c r="K522" i="11" s="1"/>
  <c r="K537" i="11"/>
  <c r="P58" i="12"/>
  <c r="M55" i="12"/>
  <c r="M53" i="12" s="1"/>
  <c r="J364" i="12"/>
  <c r="N392" i="12"/>
  <c r="N59" i="13"/>
  <c r="O59" i="13" s="1"/>
  <c r="M155" i="13"/>
  <c r="P155" i="13" s="1"/>
  <c r="P157" i="13"/>
  <c r="M267" i="13"/>
  <c r="P267" i="13" s="1"/>
  <c r="P269" i="13"/>
  <c r="O323" i="13"/>
  <c r="L321" i="13"/>
  <c r="O321" i="13" s="1"/>
  <c r="M351" i="13"/>
  <c r="P353" i="13"/>
  <c r="I785" i="13"/>
  <c r="K785" i="13" s="1"/>
  <c r="K800" i="13"/>
  <c r="O806" i="13"/>
  <c r="L805" i="13"/>
  <c r="O805" i="13" s="1"/>
  <c r="K465" i="11"/>
  <c r="L183" i="12"/>
  <c r="L300" i="12"/>
  <c r="O300" i="12" s="1"/>
  <c r="J721" i="12"/>
  <c r="P738" i="13"/>
  <c r="M737" i="13"/>
  <c r="P737" i="13" s="1"/>
  <c r="P788" i="13"/>
  <c r="M786" i="13"/>
  <c r="P786" i="13" s="1"/>
  <c r="L229" i="12"/>
  <c r="K369" i="12"/>
  <c r="N389" i="12"/>
  <c r="M263" i="13"/>
  <c r="P687" i="13"/>
  <c r="M685" i="13"/>
  <c r="P685" i="13" s="1"/>
  <c r="L229" i="11"/>
  <c r="O44" i="12"/>
  <c r="N151" i="12"/>
  <c r="N149" i="12" s="1"/>
  <c r="L230" i="12"/>
  <c r="L301" i="12"/>
  <c r="O301" i="12" s="1"/>
  <c r="K355" i="12"/>
  <c r="P71" i="13"/>
  <c r="K79" i="13"/>
  <c r="K115" i="13"/>
  <c r="M121" i="13"/>
  <c r="P121" i="13" s="1"/>
  <c r="M151" i="13"/>
  <c r="P151" i="13" s="1"/>
  <c r="O170" i="13"/>
  <c r="K255" i="13"/>
  <c r="P299" i="13"/>
  <c r="M392" i="13"/>
  <c r="P392" i="13" s="1"/>
  <c r="P394" i="13"/>
  <c r="O58" i="12"/>
  <c r="L184" i="12"/>
  <c r="M280" i="12"/>
  <c r="P280" i="12" s="1"/>
  <c r="M301" i="12"/>
  <c r="P301" i="12" s="1"/>
  <c r="K370" i="12"/>
  <c r="K378" i="12"/>
  <c r="K381" i="12"/>
  <c r="M12" i="13"/>
  <c r="M19" i="13"/>
  <c r="O32" i="13"/>
  <c r="P58" i="13"/>
  <c r="M68" i="13"/>
  <c r="P68" i="13" s="1"/>
  <c r="K100" i="13"/>
  <c r="P124" i="13"/>
  <c r="P137" i="13"/>
  <c r="O140" i="13"/>
  <c r="K144" i="13"/>
  <c r="J143" i="13"/>
  <c r="J131" i="13" s="1"/>
  <c r="P154" i="13"/>
  <c r="L168" i="13"/>
  <c r="P170" i="13"/>
  <c r="M264" i="13"/>
  <c r="P264" i="13" s="1"/>
  <c r="P266" i="13"/>
  <c r="N279" i="13"/>
  <c r="N277" i="13" s="1"/>
  <c r="L317" i="13"/>
  <c r="I443" i="13"/>
  <c r="K443" i="13" s="1"/>
  <c r="K462" i="13"/>
  <c r="K593" i="13"/>
  <c r="K362" i="13"/>
  <c r="O390" i="13"/>
  <c r="M395" i="13"/>
  <c r="P395" i="13" s="1"/>
  <c r="P397" i="13"/>
  <c r="I434" i="13"/>
  <c r="K438" i="13"/>
  <c r="L447" i="13"/>
  <c r="O447" i="13" s="1"/>
  <c r="O449" i="13"/>
  <c r="M449" i="13"/>
  <c r="L454" i="13"/>
  <c r="O454" i="13" s="1"/>
  <c r="O456" i="13"/>
  <c r="K577" i="13"/>
  <c r="K594" i="13"/>
  <c r="P630" i="13"/>
  <c r="N632" i="13"/>
  <c r="P634" i="13"/>
  <c r="O634" i="13"/>
  <c r="P771" i="13"/>
  <c r="M770" i="13"/>
  <c r="P770" i="13" s="1"/>
  <c r="J364" i="13"/>
  <c r="K365" i="13"/>
  <c r="O422" i="13"/>
  <c r="O446" i="13"/>
  <c r="L444" i="13"/>
  <c r="O444" i="13" s="1"/>
  <c r="L547" i="13"/>
  <c r="O547" i="13" s="1"/>
  <c r="O549" i="13"/>
  <c r="M549" i="13"/>
  <c r="L555" i="13"/>
  <c r="O555" i="13" s="1"/>
  <c r="O557" i="13"/>
  <c r="O686" i="13"/>
  <c r="O787" i="13"/>
  <c r="I237" i="13"/>
  <c r="M348" i="13"/>
  <c r="P348" i="13" s="1"/>
  <c r="P350" i="13"/>
  <c r="L546" i="13"/>
  <c r="P755" i="13"/>
  <c r="M754" i="13"/>
  <c r="P754" i="13" s="1"/>
  <c r="N789" i="13"/>
  <c r="M300" i="13"/>
  <c r="M330" i="13"/>
  <c r="P333" i="13"/>
  <c r="O346" i="13"/>
  <c r="O420" i="13"/>
  <c r="P555" i="13"/>
  <c r="M545" i="13"/>
  <c r="K592" i="13"/>
  <c r="N786" i="13"/>
  <c r="N414" i="13" s="1"/>
  <c r="P807" i="13"/>
  <c r="M805" i="13"/>
  <c r="P805" i="13" s="1"/>
  <c r="M405" i="13"/>
  <c r="P405" i="13" s="1"/>
  <c r="M408" i="13"/>
  <c r="P408" i="13" s="1"/>
  <c r="L470" i="13"/>
  <c r="O470" i="13" s="1"/>
  <c r="L477" i="13"/>
  <c r="O477" i="13" s="1"/>
  <c r="O791" i="13"/>
  <c r="J433" i="13"/>
  <c r="J417" i="13" s="1"/>
  <c r="M472" i="13"/>
  <c r="K651" i="13"/>
  <c r="N505" i="13"/>
  <c r="K539" i="13"/>
  <c r="K672" i="13"/>
  <c r="L688" i="13"/>
  <c r="O688" i="13" s="1"/>
  <c r="K669" i="13"/>
  <c r="L687" i="13"/>
  <c r="O687" i="13" s="1"/>
  <c r="N263" i="8"/>
  <c r="N261" i="8" s="1"/>
  <c r="O58" i="11"/>
  <c r="I314" i="11"/>
  <c r="K314" i="11" s="1"/>
  <c r="L33" i="12"/>
  <c r="N167" i="12"/>
  <c r="N165" i="12" s="1"/>
  <c r="K244" i="12"/>
  <c r="N301" i="12"/>
  <c r="L304" i="12"/>
  <c r="O304" i="12" s="1"/>
  <c r="K360" i="12"/>
  <c r="M634" i="12"/>
  <c r="M631" i="12" s="1"/>
  <c r="M629" i="12" s="1"/>
  <c r="P629" i="12" s="1"/>
  <c r="N26" i="12"/>
  <c r="N24" i="12" s="1"/>
  <c r="M304" i="12"/>
  <c r="P304" i="12" s="1"/>
  <c r="L318" i="12"/>
  <c r="O318" i="12" s="1"/>
  <c r="L632" i="12"/>
  <c r="O632" i="12" s="1"/>
  <c r="K647" i="12"/>
  <c r="L688" i="12"/>
  <c r="O688" i="12" s="1"/>
  <c r="J722" i="12"/>
  <c r="M90" i="11"/>
  <c r="M88" i="11" s="1"/>
  <c r="M151" i="11"/>
  <c r="O303" i="11"/>
  <c r="M68" i="12"/>
  <c r="P68" i="12" s="1"/>
  <c r="O93" i="12"/>
  <c r="O124" i="12"/>
  <c r="M183" i="12"/>
  <c r="M181" i="12" s="1"/>
  <c r="O306" i="12"/>
  <c r="O634" i="12"/>
  <c r="M152" i="11"/>
  <c r="P152" i="11" s="1"/>
  <c r="L43" i="12"/>
  <c r="L41" i="12" s="1"/>
  <c r="P91" i="12"/>
  <c r="I233" i="12"/>
  <c r="K233" i="12" s="1"/>
  <c r="L469" i="12"/>
  <c r="L467" i="12" s="1"/>
  <c r="L68" i="11"/>
  <c r="M134" i="11"/>
  <c r="P134" i="11" s="1"/>
  <c r="L231" i="11"/>
  <c r="K370" i="11"/>
  <c r="K378" i="11"/>
  <c r="P46" i="12"/>
  <c r="P137" i="12"/>
  <c r="L167" i="12"/>
  <c r="L165" i="12" s="1"/>
  <c r="N184" i="12"/>
  <c r="O186" i="12"/>
  <c r="I190" i="12"/>
  <c r="K190" i="12" s="1"/>
  <c r="O266" i="12"/>
  <c r="P348" i="12"/>
  <c r="L546" i="12"/>
  <c r="O546" i="12" s="1"/>
  <c r="K821" i="12"/>
  <c r="K824" i="12"/>
  <c r="K827" i="12"/>
  <c r="K174" i="12"/>
  <c r="I164" i="12"/>
  <c r="K164" i="12" s="1"/>
  <c r="L526" i="8"/>
  <c r="O526" i="8" s="1"/>
  <c r="L55" i="11"/>
  <c r="L404" i="12"/>
  <c r="O404" i="12" s="1"/>
  <c r="O410" i="12"/>
  <c r="L408" i="12"/>
  <c r="O408" i="12" s="1"/>
  <c r="K255" i="11"/>
  <c r="L788" i="11"/>
  <c r="O788" i="11" s="1"/>
  <c r="O46" i="12"/>
  <c r="L90" i="12"/>
  <c r="O96" i="12"/>
  <c r="M138" i="12"/>
  <c r="P138" i="12" s="1"/>
  <c r="L151" i="12"/>
  <c r="O151" i="12" s="1"/>
  <c r="L171" i="12"/>
  <c r="O171" i="12" s="1"/>
  <c r="K176" i="12"/>
  <c r="L187" i="12"/>
  <c r="O187" i="12" s="1"/>
  <c r="L231" i="12"/>
  <c r="L279" i="12"/>
  <c r="O279" i="12" s="1"/>
  <c r="M283" i="12"/>
  <c r="P283" i="12" s="1"/>
  <c r="M300" i="12"/>
  <c r="L330" i="12"/>
  <c r="L328" i="12" s="1"/>
  <c r="O353" i="12"/>
  <c r="P407" i="12"/>
  <c r="M405" i="12"/>
  <c r="P405" i="12" s="1"/>
  <c r="L421" i="12"/>
  <c r="O421" i="12" s="1"/>
  <c r="O424" i="12"/>
  <c r="L422" i="12"/>
  <c r="O422" i="12" s="1"/>
  <c r="M424" i="12"/>
  <c r="M421" i="12" s="1"/>
  <c r="P421" i="12" s="1"/>
  <c r="M135" i="11"/>
  <c r="P135" i="11" s="1"/>
  <c r="L151" i="11"/>
  <c r="O151" i="11" s="1"/>
  <c r="I233" i="11"/>
  <c r="K233" i="11" s="1"/>
  <c r="K359" i="11"/>
  <c r="M408" i="11"/>
  <c r="P408" i="11" s="1"/>
  <c r="P61" i="12"/>
  <c r="N90" i="12"/>
  <c r="N88" i="12" s="1"/>
  <c r="P96" i="12"/>
  <c r="K99" i="12"/>
  <c r="J143" i="12"/>
  <c r="J131" i="12" s="1"/>
  <c r="M151" i="12"/>
  <c r="L198" i="12"/>
  <c r="O198" i="12" s="1"/>
  <c r="L209" i="12"/>
  <c r="O209" i="12" s="1"/>
  <c r="I216" i="12"/>
  <c r="K216" i="12" s="1"/>
  <c r="O269" i="12"/>
  <c r="M279" i="12"/>
  <c r="P279" i="12" s="1"/>
  <c r="K460" i="12"/>
  <c r="I442" i="12"/>
  <c r="K442" i="12" s="1"/>
  <c r="M267" i="12"/>
  <c r="P267" i="12" s="1"/>
  <c r="O320" i="10"/>
  <c r="L347" i="10"/>
  <c r="L345" i="10" s="1"/>
  <c r="L138" i="11"/>
  <c r="O138" i="11" s="1"/>
  <c r="O49" i="12"/>
  <c r="O71" i="12"/>
  <c r="L134" i="12"/>
  <c r="O134" i="12" s="1"/>
  <c r="L334" i="12"/>
  <c r="O334" i="12" s="1"/>
  <c r="P353" i="12"/>
  <c r="N351" i="12"/>
  <c r="P351" i="12" s="1"/>
  <c r="I559" i="12"/>
  <c r="K576" i="12"/>
  <c r="I143" i="11"/>
  <c r="K143" i="11" s="1"/>
  <c r="N43" i="12"/>
  <c r="N134" i="12"/>
  <c r="N132" i="12" s="1"/>
  <c r="I260" i="12"/>
  <c r="K260" i="12" s="1"/>
  <c r="P323" i="12"/>
  <c r="M321" i="12"/>
  <c r="P321" i="12" s="1"/>
  <c r="I87" i="11"/>
  <c r="K87" i="11" s="1"/>
  <c r="L23" i="12"/>
  <c r="L21" i="12" s="1"/>
  <c r="N68" i="12"/>
  <c r="N66" i="12" s="1"/>
  <c r="M121" i="12"/>
  <c r="I297" i="12"/>
  <c r="K297" i="12" s="1"/>
  <c r="L317" i="12"/>
  <c r="O317" i="12" s="1"/>
  <c r="L321" i="12"/>
  <c r="O321" i="12" s="1"/>
  <c r="I522" i="12"/>
  <c r="K522" i="12" s="1"/>
  <c r="K672" i="12"/>
  <c r="L789" i="12"/>
  <c r="O789" i="12" s="1"/>
  <c r="M317" i="12"/>
  <c r="N347" i="12"/>
  <c r="K674" i="12"/>
  <c r="M549" i="12"/>
  <c r="M547" i="12" s="1"/>
  <c r="P547" i="12" s="1"/>
  <c r="K649" i="12"/>
  <c r="P333" i="12"/>
  <c r="O350" i="12"/>
  <c r="K372" i="12"/>
  <c r="L446" i="12"/>
  <c r="O660" i="12"/>
  <c r="L788" i="12"/>
  <c r="O788" i="12" s="1"/>
  <c r="K823" i="12"/>
  <c r="O19" i="12"/>
  <c r="O15" i="12"/>
  <c r="P29" i="12"/>
  <c r="I130" i="12"/>
  <c r="K130" i="12" s="1"/>
  <c r="K146" i="12"/>
  <c r="M168" i="12"/>
  <c r="P168" i="12" s="1"/>
  <c r="P170" i="12"/>
  <c r="O182" i="12"/>
  <c r="P807" i="12"/>
  <c r="M805" i="12"/>
  <c r="P805" i="12" s="1"/>
  <c r="N183" i="9"/>
  <c r="N181" i="9" s="1"/>
  <c r="N26" i="11"/>
  <c r="N16" i="11" s="1"/>
  <c r="L36" i="11"/>
  <c r="O36" i="11" s="1"/>
  <c r="L135" i="11"/>
  <c r="O135" i="11" s="1"/>
  <c r="N317" i="11"/>
  <c r="N315" i="11" s="1"/>
  <c r="M330" i="11"/>
  <c r="M328" i="11" s="1"/>
  <c r="O410" i="11"/>
  <c r="K822" i="11"/>
  <c r="N19" i="12"/>
  <c r="N23" i="12"/>
  <c r="O35" i="12"/>
  <c r="M90" i="12"/>
  <c r="P93" i="12"/>
  <c r="M184" i="12"/>
  <c r="P186" i="12"/>
  <c r="I592" i="12"/>
  <c r="K592" i="12" s="1"/>
  <c r="K593" i="12"/>
  <c r="O686" i="12"/>
  <c r="P738" i="12"/>
  <c r="M737" i="12"/>
  <c r="P737" i="12" s="1"/>
  <c r="P771" i="12"/>
  <c r="M770" i="12"/>
  <c r="P770" i="12" s="1"/>
  <c r="P788" i="12"/>
  <c r="M786" i="12"/>
  <c r="P786" i="12" s="1"/>
  <c r="M318" i="10"/>
  <c r="P318" i="10" s="1"/>
  <c r="M47" i="11"/>
  <c r="P47" i="11" s="1"/>
  <c r="L209" i="11"/>
  <c r="O209" i="11" s="1"/>
  <c r="M263" i="11"/>
  <c r="M261" i="11" s="1"/>
  <c r="M267" i="11"/>
  <c r="P267" i="11" s="1"/>
  <c r="N279" i="11"/>
  <c r="N277" i="11" s="1"/>
  <c r="P350" i="11"/>
  <c r="L404" i="11"/>
  <c r="P15" i="12"/>
  <c r="L29" i="12"/>
  <c r="P35" i="12"/>
  <c r="M171" i="12"/>
  <c r="P171" i="12" s="1"/>
  <c r="P173" i="12"/>
  <c r="L228" i="12"/>
  <c r="L249" i="12"/>
  <c r="O249" i="12" s="1"/>
  <c r="I314" i="12"/>
  <c r="K314" i="12" s="1"/>
  <c r="K325" i="12"/>
  <c r="I364" i="12"/>
  <c r="K374" i="12"/>
  <c r="K827" i="10"/>
  <c r="L283" i="11"/>
  <c r="O283" i="11" s="1"/>
  <c r="I297" i="11"/>
  <c r="K297" i="11" s="1"/>
  <c r="M404" i="11"/>
  <c r="P404" i="11" s="1"/>
  <c r="K647" i="11"/>
  <c r="I654" i="11"/>
  <c r="K654" i="11" s="1"/>
  <c r="K669" i="11"/>
  <c r="K826" i="11"/>
  <c r="O22" i="12"/>
  <c r="L68" i="12"/>
  <c r="O91" i="12"/>
  <c r="M187" i="12"/>
  <c r="P187" i="12" s="1"/>
  <c r="P189" i="12"/>
  <c r="L238" i="12"/>
  <c r="P504" i="12"/>
  <c r="M502" i="12"/>
  <c r="P502" i="12" s="1"/>
  <c r="J143" i="9"/>
  <c r="J131" i="9" s="1"/>
  <c r="N263" i="10"/>
  <c r="N261" i="10" s="1"/>
  <c r="L300" i="10"/>
  <c r="O300" i="10" s="1"/>
  <c r="N391" i="10"/>
  <c r="N389" i="10" s="1"/>
  <c r="L217" i="11"/>
  <c r="O217" i="11" s="1"/>
  <c r="L12" i="12"/>
  <c r="I112" i="12"/>
  <c r="K112" i="12" s="1"/>
  <c r="L135" i="12"/>
  <c r="O135" i="12" s="1"/>
  <c r="O137" i="12"/>
  <c r="M167" i="12"/>
  <c r="K204" i="12"/>
  <c r="I197" i="12"/>
  <c r="K197" i="12" s="1"/>
  <c r="M334" i="12"/>
  <c r="P336" i="12"/>
  <c r="M330" i="12"/>
  <c r="P346" i="12"/>
  <c r="K385" i="12"/>
  <c r="N470" i="12"/>
  <c r="N469" i="12"/>
  <c r="N467" i="12" s="1"/>
  <c r="J143" i="11"/>
  <c r="J131" i="11" s="1"/>
  <c r="M391" i="11"/>
  <c r="M389" i="11" s="1"/>
  <c r="P389" i="11" s="1"/>
  <c r="K821" i="11"/>
  <c r="M9" i="12"/>
  <c r="M34" i="12"/>
  <c r="P34" i="12" s="1"/>
  <c r="L47" i="12"/>
  <c r="O47" i="12" s="1"/>
  <c r="L26" i="12"/>
  <c r="I77" i="12"/>
  <c r="I76" i="12"/>
  <c r="K80" i="12"/>
  <c r="L138" i="12"/>
  <c r="O138" i="12" s="1"/>
  <c r="O140" i="12"/>
  <c r="O166" i="12"/>
  <c r="O54" i="12"/>
  <c r="O150" i="12"/>
  <c r="O262" i="12"/>
  <c r="P278" i="12"/>
  <c r="L280" i="12"/>
  <c r="O280" i="12" s="1"/>
  <c r="L283" i="12"/>
  <c r="O283" i="12" s="1"/>
  <c r="O299" i="12"/>
  <c r="N331" i="12"/>
  <c r="P331" i="12" s="1"/>
  <c r="P350" i="12"/>
  <c r="M404" i="12"/>
  <c r="P404" i="12" s="1"/>
  <c r="O503" i="12"/>
  <c r="L502" i="12"/>
  <c r="O502" i="12" s="1"/>
  <c r="O787" i="12"/>
  <c r="I785" i="12"/>
  <c r="K785" i="12" s="1"/>
  <c r="K800" i="12"/>
  <c r="O806" i="12"/>
  <c r="L805" i="12"/>
  <c r="O805" i="12" s="1"/>
  <c r="M408" i="12"/>
  <c r="P408" i="12" s="1"/>
  <c r="P410" i="12"/>
  <c r="K435" i="12"/>
  <c r="J433" i="12"/>
  <c r="J417" i="12" s="1"/>
  <c r="O333" i="12"/>
  <c r="K365" i="12"/>
  <c r="M391" i="12"/>
  <c r="O420" i="12"/>
  <c r="P445" i="12"/>
  <c r="P468" i="12"/>
  <c r="N502" i="12"/>
  <c r="N523" i="12"/>
  <c r="O630" i="12"/>
  <c r="P755" i="12"/>
  <c r="M754" i="12"/>
  <c r="P754" i="12" s="1"/>
  <c r="I275" i="12"/>
  <c r="K275" i="12" s="1"/>
  <c r="J288" i="12"/>
  <c r="J275" i="12" s="1"/>
  <c r="J327" i="12"/>
  <c r="K327" i="12" s="1"/>
  <c r="K438" i="12"/>
  <c r="I434" i="12"/>
  <c r="P687" i="12"/>
  <c r="M685" i="12"/>
  <c r="P685" i="12" s="1"/>
  <c r="N789" i="12"/>
  <c r="I143" i="12"/>
  <c r="I248" i="12"/>
  <c r="K248" i="12" s="1"/>
  <c r="M347" i="12"/>
  <c r="K359" i="12"/>
  <c r="P394" i="12"/>
  <c r="I433" i="12"/>
  <c r="M469" i="12"/>
  <c r="P469" i="12" s="1"/>
  <c r="M470" i="12"/>
  <c r="P472" i="12"/>
  <c r="J537" i="12"/>
  <c r="J522" i="12" s="1"/>
  <c r="I443" i="12"/>
  <c r="K443" i="12" s="1"/>
  <c r="L447" i="12"/>
  <c r="O447" i="12" s="1"/>
  <c r="L454" i="12"/>
  <c r="O454" i="12" s="1"/>
  <c r="O472" i="12"/>
  <c r="O524" i="12"/>
  <c r="L533" i="12"/>
  <c r="O533" i="12" s="1"/>
  <c r="I654" i="12"/>
  <c r="K654" i="12" s="1"/>
  <c r="P656" i="12"/>
  <c r="K675" i="12"/>
  <c r="M449" i="12"/>
  <c r="L470" i="12"/>
  <c r="L477" i="12"/>
  <c r="O477" i="12" s="1"/>
  <c r="L525" i="12"/>
  <c r="O525" i="12" s="1"/>
  <c r="K669" i="12"/>
  <c r="L687" i="12"/>
  <c r="O687" i="12" s="1"/>
  <c r="M90" i="6"/>
  <c r="M88" i="6" s="1"/>
  <c r="M424" i="8"/>
  <c r="P424" i="8" s="1"/>
  <c r="M43" i="9"/>
  <c r="M41" i="9" s="1"/>
  <c r="J143" i="10"/>
  <c r="J131" i="10" s="1"/>
  <c r="N183" i="11"/>
  <c r="N181" i="11" s="1"/>
  <c r="M187" i="11"/>
  <c r="P187" i="11" s="1"/>
  <c r="K204" i="11"/>
  <c r="K215" i="11"/>
  <c r="N283" i="11"/>
  <c r="M304" i="11"/>
  <c r="P304" i="11" s="1"/>
  <c r="P333" i="11"/>
  <c r="N348" i="11"/>
  <c r="I364" i="11"/>
  <c r="M405" i="11"/>
  <c r="P405" i="11" s="1"/>
  <c r="K649" i="11"/>
  <c r="M43" i="11"/>
  <c r="M41" i="11" s="1"/>
  <c r="P46" i="11"/>
  <c r="K98" i="11"/>
  <c r="M122" i="11"/>
  <c r="P122" i="11" s="1"/>
  <c r="L230" i="11"/>
  <c r="O269" i="11"/>
  <c r="P285" i="11"/>
  <c r="K385" i="11"/>
  <c r="O407" i="11"/>
  <c r="N121" i="10"/>
  <c r="N119" i="10" s="1"/>
  <c r="N167" i="10"/>
  <c r="N165" i="10" s="1"/>
  <c r="L171" i="10"/>
  <c r="O171" i="10" s="1"/>
  <c r="L231" i="10"/>
  <c r="O154" i="11"/>
  <c r="L167" i="11"/>
  <c r="L165" i="11" s="1"/>
  <c r="N351" i="11"/>
  <c r="P351" i="11" s="1"/>
  <c r="P407" i="11"/>
  <c r="K824" i="11"/>
  <c r="L122" i="10"/>
  <c r="O122" i="10" s="1"/>
  <c r="I112" i="11"/>
  <c r="K112" i="11" s="1"/>
  <c r="K828" i="11"/>
  <c r="P93" i="11"/>
  <c r="N300" i="11"/>
  <c r="N298" i="11" s="1"/>
  <c r="L317" i="11"/>
  <c r="O317" i="11" s="1"/>
  <c r="N167" i="11"/>
  <c r="N165" i="11" s="1"/>
  <c r="N168" i="11"/>
  <c r="M632" i="11"/>
  <c r="P632" i="11" s="1"/>
  <c r="M631" i="11"/>
  <c r="M629" i="11" s="1"/>
  <c r="L688" i="11"/>
  <c r="O688" i="11" s="1"/>
  <c r="L687" i="11"/>
  <c r="O687" i="11" s="1"/>
  <c r="L90" i="6"/>
  <c r="L88" i="6" s="1"/>
  <c r="N347" i="8"/>
  <c r="N345" i="8" s="1"/>
  <c r="I314" i="10"/>
  <c r="K314" i="10" s="1"/>
  <c r="K340" i="10"/>
  <c r="P348" i="10"/>
  <c r="L23" i="11"/>
  <c r="N43" i="11"/>
  <c r="N41" i="11" s="1"/>
  <c r="L47" i="11"/>
  <c r="O47" i="11" s="1"/>
  <c r="M72" i="11"/>
  <c r="P72" i="11" s="1"/>
  <c r="M91" i="11"/>
  <c r="P91" i="11" s="1"/>
  <c r="N90" i="11"/>
  <c r="N88" i="11" s="1"/>
  <c r="M138" i="11"/>
  <c r="P138" i="11" s="1"/>
  <c r="K287" i="11"/>
  <c r="I276" i="11"/>
  <c r="K276" i="11" s="1"/>
  <c r="M301" i="11"/>
  <c r="P301" i="11" s="1"/>
  <c r="K379" i="11"/>
  <c r="J433" i="11"/>
  <c r="J417" i="11" s="1"/>
  <c r="K440" i="11"/>
  <c r="I434" i="11"/>
  <c r="K434" i="11" s="1"/>
  <c r="K460" i="11"/>
  <c r="L631" i="11"/>
  <c r="L629" i="11" s="1"/>
  <c r="P397" i="10"/>
  <c r="L26" i="11"/>
  <c r="P186" i="11"/>
  <c r="M183" i="11"/>
  <c r="M318" i="11"/>
  <c r="P318" i="11" s="1"/>
  <c r="P336" i="11"/>
  <c r="N391" i="11"/>
  <c r="N389" i="11" s="1"/>
  <c r="N392" i="11"/>
  <c r="L632" i="11"/>
  <c r="O632" i="11" s="1"/>
  <c r="O690" i="11"/>
  <c r="I314" i="9"/>
  <c r="K314" i="9" s="1"/>
  <c r="N55" i="10"/>
  <c r="N53" i="10" s="1"/>
  <c r="M59" i="10"/>
  <c r="P59" i="10" s="1"/>
  <c r="I86" i="10"/>
  <c r="K86" i="10" s="1"/>
  <c r="M122" i="10"/>
  <c r="P122" i="10" s="1"/>
  <c r="N134" i="10"/>
  <c r="N132" i="10" s="1"/>
  <c r="L263" i="10"/>
  <c r="L261" i="10" s="1"/>
  <c r="L301" i="10"/>
  <c r="O301" i="10" s="1"/>
  <c r="O303" i="10"/>
  <c r="M69" i="11"/>
  <c r="P69" i="11" s="1"/>
  <c r="I76" i="11"/>
  <c r="K76" i="11" s="1"/>
  <c r="M94" i="11"/>
  <c r="P94" i="11" s="1"/>
  <c r="O124" i="11"/>
  <c r="I148" i="11"/>
  <c r="K148" i="11" s="1"/>
  <c r="O282" i="11"/>
  <c r="P303" i="11"/>
  <c r="N90" i="6"/>
  <c r="N88" i="6" s="1"/>
  <c r="N122" i="10"/>
  <c r="M125" i="10"/>
  <c r="P125" i="10" s="1"/>
  <c r="M549" i="10"/>
  <c r="M547" i="10" s="1"/>
  <c r="P547" i="10" s="1"/>
  <c r="L44" i="11"/>
  <c r="O44" i="11" s="1"/>
  <c r="P44" i="11"/>
  <c r="N23" i="11"/>
  <c r="N21" i="11" s="1"/>
  <c r="M68" i="11"/>
  <c r="K80" i="11"/>
  <c r="M121" i="11"/>
  <c r="P121" i="11" s="1"/>
  <c r="M155" i="11"/>
  <c r="P155" i="11" s="1"/>
  <c r="M184" i="11"/>
  <c r="P184" i="11" s="1"/>
  <c r="L249" i="11"/>
  <c r="O249" i="11" s="1"/>
  <c r="P264" i="11"/>
  <c r="N331" i="11"/>
  <c r="O331" i="11" s="1"/>
  <c r="N330" i="11"/>
  <c r="N328" i="11" s="1"/>
  <c r="L47" i="10"/>
  <c r="O47" i="10" s="1"/>
  <c r="L155" i="10"/>
  <c r="O155" i="10" s="1"/>
  <c r="L230" i="10"/>
  <c r="K385" i="10"/>
  <c r="L788" i="10"/>
  <c r="O788" i="10" s="1"/>
  <c r="L43" i="11"/>
  <c r="N68" i="11"/>
  <c r="N66" i="11" s="1"/>
  <c r="K86" i="11"/>
  <c r="N121" i="11"/>
  <c r="N119" i="11" s="1"/>
  <c r="M125" i="11"/>
  <c r="P125" i="11" s="1"/>
  <c r="P173" i="11"/>
  <c r="M171" i="11"/>
  <c r="P171" i="11" s="1"/>
  <c r="L238" i="11"/>
  <c r="O238" i="11" s="1"/>
  <c r="L279" i="11"/>
  <c r="O279" i="11" s="1"/>
  <c r="M331" i="11"/>
  <c r="K340" i="11"/>
  <c r="O353" i="11"/>
  <c r="L351" i="11"/>
  <c r="M472" i="11"/>
  <c r="P472" i="11" s="1"/>
  <c r="O472" i="11"/>
  <c r="L469" i="11"/>
  <c r="J722" i="11"/>
  <c r="L198" i="11"/>
  <c r="O198" i="11" s="1"/>
  <c r="K355" i="11"/>
  <c r="K360" i="11"/>
  <c r="K369" i="11"/>
  <c r="K577" i="11"/>
  <c r="O157" i="11"/>
  <c r="O264" i="11"/>
  <c r="M279" i="11"/>
  <c r="P279" i="11" s="1"/>
  <c r="P282" i="11"/>
  <c r="J327" i="11"/>
  <c r="K327" i="11" s="1"/>
  <c r="K673" i="11"/>
  <c r="K825" i="11"/>
  <c r="K362" i="11"/>
  <c r="K594" i="11"/>
  <c r="K674" i="11"/>
  <c r="O791" i="11"/>
  <c r="K823" i="11"/>
  <c r="N43" i="10"/>
  <c r="N41" i="10" s="1"/>
  <c r="K359" i="10"/>
  <c r="K362" i="10"/>
  <c r="L405" i="10"/>
  <c r="O405" i="10" s="1"/>
  <c r="O54" i="11"/>
  <c r="L91" i="6"/>
  <c r="O91" i="6" s="1"/>
  <c r="L94" i="6"/>
  <c r="O94" i="6" s="1"/>
  <c r="P49" i="10"/>
  <c r="I143" i="10"/>
  <c r="I131" i="10" s="1"/>
  <c r="K131" i="10" s="1"/>
  <c r="I174" i="10"/>
  <c r="I164" i="10" s="1"/>
  <c r="K164" i="10" s="1"/>
  <c r="I208" i="10"/>
  <c r="K208" i="10" s="1"/>
  <c r="K355" i="10"/>
  <c r="K369" i="10"/>
  <c r="K372" i="10"/>
  <c r="J721" i="10"/>
  <c r="K823" i="10"/>
  <c r="O96" i="11"/>
  <c r="L94" i="11"/>
  <c r="O94" i="11" s="1"/>
  <c r="J364" i="10"/>
  <c r="K378" i="10"/>
  <c r="K381" i="10"/>
  <c r="N29" i="11"/>
  <c r="N28" i="11" s="1"/>
  <c r="N31" i="11"/>
  <c r="I190" i="10"/>
  <c r="K190" i="10" s="1"/>
  <c r="P336" i="8"/>
  <c r="O124" i="9"/>
  <c r="M152" i="9"/>
  <c r="P152" i="9" s="1"/>
  <c r="L155" i="9"/>
  <c r="O155" i="9" s="1"/>
  <c r="P157" i="9"/>
  <c r="L152" i="10"/>
  <c r="O152" i="10" s="1"/>
  <c r="L280" i="10"/>
  <c r="O280" i="10" s="1"/>
  <c r="P303" i="10"/>
  <c r="N12" i="11"/>
  <c r="N15" i="11"/>
  <c r="P58" i="11"/>
  <c r="M23" i="11"/>
  <c r="M21" i="11" s="1"/>
  <c r="M56" i="11"/>
  <c r="P56" i="11" s="1"/>
  <c r="P61" i="11"/>
  <c r="M59" i="11"/>
  <c r="P59" i="11" s="1"/>
  <c r="M26" i="11"/>
  <c r="L90" i="11"/>
  <c r="L209" i="10"/>
  <c r="O209" i="10" s="1"/>
  <c r="I216" i="10"/>
  <c r="K216" i="10" s="1"/>
  <c r="L12" i="11"/>
  <c r="O15" i="11"/>
  <c r="L19" i="11"/>
  <c r="O22" i="11"/>
  <c r="O29" i="11"/>
  <c r="O35" i="11"/>
  <c r="P54" i="11"/>
  <c r="L56" i="11"/>
  <c r="O56" i="11" s="1"/>
  <c r="L59" i="11"/>
  <c r="O59" i="11" s="1"/>
  <c r="I77" i="11"/>
  <c r="O89" i="11"/>
  <c r="L121" i="11"/>
  <c r="L134" i="11"/>
  <c r="O134" i="11" s="1"/>
  <c r="N227" i="11"/>
  <c r="L300" i="11"/>
  <c r="O323" i="11"/>
  <c r="L321" i="11"/>
  <c r="O321" i="11" s="1"/>
  <c r="O189" i="11"/>
  <c r="L187" i="11"/>
  <c r="O187" i="11" s="1"/>
  <c r="K244" i="11"/>
  <c r="I237" i="11"/>
  <c r="O397" i="11"/>
  <c r="L395" i="11"/>
  <c r="O395" i="11" s="1"/>
  <c r="O431" i="11"/>
  <c r="L429" i="11"/>
  <c r="O429" i="11" s="1"/>
  <c r="L547" i="11"/>
  <c r="O547" i="11" s="1"/>
  <c r="O549" i="11"/>
  <c r="M549" i="11"/>
  <c r="P630" i="11"/>
  <c r="O133" i="11"/>
  <c r="K146" i="11"/>
  <c r="P170" i="11"/>
  <c r="O173" i="11"/>
  <c r="L171" i="11"/>
  <c r="O171" i="11" s="1"/>
  <c r="K176" i="11"/>
  <c r="I174" i="11"/>
  <c r="M317" i="11"/>
  <c r="P317" i="11" s="1"/>
  <c r="M321" i="11"/>
  <c r="P321" i="11" s="1"/>
  <c r="O336" i="11"/>
  <c r="L330" i="11"/>
  <c r="L263" i="11"/>
  <c r="J288" i="11"/>
  <c r="J275" i="11" s="1"/>
  <c r="I275" i="11"/>
  <c r="K275" i="11" s="1"/>
  <c r="L391" i="11"/>
  <c r="O391" i="11" s="1"/>
  <c r="J592" i="11"/>
  <c r="K592" i="11" s="1"/>
  <c r="K593" i="11"/>
  <c r="M15" i="11"/>
  <c r="M29" i="11"/>
  <c r="O61" i="11"/>
  <c r="N151" i="11"/>
  <c r="N149" i="11" s="1"/>
  <c r="P182" i="11"/>
  <c r="O186" i="11"/>
  <c r="L184" i="11"/>
  <c r="O184" i="11" s="1"/>
  <c r="O266" i="11"/>
  <c r="K288" i="11"/>
  <c r="P316" i="11"/>
  <c r="O320" i="11"/>
  <c r="L318" i="11"/>
  <c r="O318" i="11" s="1"/>
  <c r="O333" i="11"/>
  <c r="O350" i="11"/>
  <c r="L347" i="11"/>
  <c r="K365" i="11"/>
  <c r="K462" i="11"/>
  <c r="I443" i="11"/>
  <c r="K443" i="11" s="1"/>
  <c r="L33" i="11"/>
  <c r="O93" i="11"/>
  <c r="L91" i="11"/>
  <c r="O91" i="11" s="1"/>
  <c r="O127" i="11"/>
  <c r="P166" i="11"/>
  <c r="O170" i="11"/>
  <c r="L168" i="11"/>
  <c r="I216" i="11"/>
  <c r="K216" i="11" s="1"/>
  <c r="L228" i="11"/>
  <c r="N263" i="11"/>
  <c r="P266" i="11"/>
  <c r="O278" i="11"/>
  <c r="O306" i="11"/>
  <c r="L348" i="11"/>
  <c r="J374" i="11"/>
  <c r="K374" i="11" s="1"/>
  <c r="K381" i="11"/>
  <c r="O394" i="11"/>
  <c r="L392" i="11"/>
  <c r="O392" i="11" s="1"/>
  <c r="O456" i="11"/>
  <c r="L446" i="11"/>
  <c r="O446" i="11" s="1"/>
  <c r="L454" i="11"/>
  <c r="O454" i="11" s="1"/>
  <c r="O535" i="11"/>
  <c r="L525" i="11"/>
  <c r="O525" i="11" s="1"/>
  <c r="P555" i="11"/>
  <c r="M545" i="11"/>
  <c r="M737" i="11"/>
  <c r="P737" i="11" s="1"/>
  <c r="K338" i="11"/>
  <c r="O424" i="11"/>
  <c r="M424" i="11"/>
  <c r="L533" i="11"/>
  <c r="O533" i="11" s="1"/>
  <c r="O545" i="11"/>
  <c r="L544" i="11"/>
  <c r="O544" i="11" s="1"/>
  <c r="K560" i="11"/>
  <c r="N631" i="11"/>
  <c r="K651" i="11"/>
  <c r="I628" i="11"/>
  <c r="K628" i="11" s="1"/>
  <c r="P686" i="11"/>
  <c r="M685" i="11"/>
  <c r="P685" i="11" s="1"/>
  <c r="N770" i="11"/>
  <c r="N788" i="11"/>
  <c r="N786" i="11" s="1"/>
  <c r="K827" i="11"/>
  <c r="I785" i="11"/>
  <c r="K785" i="11" s="1"/>
  <c r="K800" i="11"/>
  <c r="O657" i="11"/>
  <c r="L655" i="11"/>
  <c r="O655" i="11" s="1"/>
  <c r="O660" i="11"/>
  <c r="M660" i="11"/>
  <c r="P787" i="11"/>
  <c r="M786" i="11"/>
  <c r="P786" i="11" s="1"/>
  <c r="J537" i="11"/>
  <c r="J522" i="11" s="1"/>
  <c r="K538" i="11"/>
  <c r="M770" i="11"/>
  <c r="P770" i="11" s="1"/>
  <c r="P806" i="11"/>
  <c r="M805" i="11"/>
  <c r="P805" i="11" s="1"/>
  <c r="N404" i="11"/>
  <c r="N402" i="11" s="1"/>
  <c r="L421" i="11"/>
  <c r="M502" i="11"/>
  <c r="P502" i="11" s="1"/>
  <c r="O557" i="11"/>
  <c r="I559" i="11"/>
  <c r="K576" i="11"/>
  <c r="O634" i="11"/>
  <c r="L658" i="11"/>
  <c r="O658" i="11" s="1"/>
  <c r="M754" i="11"/>
  <c r="P754" i="11" s="1"/>
  <c r="L470" i="11"/>
  <c r="O470" i="11" s="1"/>
  <c r="L477" i="11"/>
  <c r="O477" i="11" s="1"/>
  <c r="P634" i="11"/>
  <c r="K675" i="11"/>
  <c r="M55" i="10"/>
  <c r="M53" i="10" s="1"/>
  <c r="P58" i="10"/>
  <c r="K159" i="10"/>
  <c r="I148" i="10"/>
  <c r="K148" i="10" s="1"/>
  <c r="P269" i="9"/>
  <c r="M267" i="9"/>
  <c r="P267" i="9" s="1"/>
  <c r="K144" i="10"/>
  <c r="O189" i="10"/>
  <c r="L187" i="10"/>
  <c r="O187" i="10" s="1"/>
  <c r="I197" i="10"/>
  <c r="K197" i="10" s="1"/>
  <c r="K204" i="10"/>
  <c r="N72" i="9"/>
  <c r="N68" i="9"/>
  <c r="N66" i="9" s="1"/>
  <c r="K824" i="8"/>
  <c r="M56" i="10"/>
  <c r="P56" i="10" s="1"/>
  <c r="K79" i="10"/>
  <c r="I77" i="10"/>
  <c r="I65" i="10" s="1"/>
  <c r="K65" i="10" s="1"/>
  <c r="L134" i="10"/>
  <c r="O134" i="10" s="1"/>
  <c r="O140" i="10"/>
  <c r="L138" i="10"/>
  <c r="O138" i="10" s="1"/>
  <c r="P189" i="10"/>
  <c r="M187" i="10"/>
  <c r="P187" i="10" s="1"/>
  <c r="K435" i="10"/>
  <c r="J433" i="10"/>
  <c r="J417" i="10" s="1"/>
  <c r="I433" i="10"/>
  <c r="I417" i="10" s="1"/>
  <c r="O336" i="7"/>
  <c r="L334" i="7"/>
  <c r="O334" i="7" s="1"/>
  <c r="L90" i="10"/>
  <c r="L88" i="10" s="1"/>
  <c r="L94" i="10"/>
  <c r="O94" i="10" s="1"/>
  <c r="O137" i="10"/>
  <c r="L135" i="10"/>
  <c r="O135" i="10" s="1"/>
  <c r="I654" i="3"/>
  <c r="K654" i="3" s="1"/>
  <c r="P173" i="10"/>
  <c r="M171" i="10"/>
  <c r="P171" i="10" s="1"/>
  <c r="M183" i="10"/>
  <c r="M181" i="10" s="1"/>
  <c r="K651" i="9"/>
  <c r="I628" i="9"/>
  <c r="K628" i="9" s="1"/>
  <c r="M44" i="10"/>
  <c r="P44" i="10" s="1"/>
  <c r="M43" i="10"/>
  <c r="M41" i="10" s="1"/>
  <c r="L639" i="10"/>
  <c r="O639" i="10" s="1"/>
  <c r="O641" i="10"/>
  <c r="J143" i="6"/>
  <c r="J131" i="6" s="1"/>
  <c r="L69" i="10"/>
  <c r="O69" i="10" s="1"/>
  <c r="L421" i="10"/>
  <c r="O421" i="10" s="1"/>
  <c r="L526" i="10"/>
  <c r="O526" i="10" s="1"/>
  <c r="J722" i="10"/>
  <c r="N279" i="10"/>
  <c r="N277" i="10" s="1"/>
  <c r="L330" i="10"/>
  <c r="L328" i="10" s="1"/>
  <c r="K374" i="8"/>
  <c r="N135" i="10"/>
  <c r="K287" i="8"/>
  <c r="N55" i="9"/>
  <c r="N53" i="9" s="1"/>
  <c r="L59" i="9"/>
  <c r="O59" i="9" s="1"/>
  <c r="L279" i="10"/>
  <c r="N330" i="10"/>
  <c r="N328" i="10" s="1"/>
  <c r="K338" i="10"/>
  <c r="L391" i="10"/>
  <c r="O391" i="10" s="1"/>
  <c r="L631" i="10"/>
  <c r="O631" i="10" s="1"/>
  <c r="N90" i="9"/>
  <c r="N88" i="9" s="1"/>
  <c r="L421" i="9"/>
  <c r="O421" i="9" s="1"/>
  <c r="O58" i="10"/>
  <c r="I112" i="10"/>
  <c r="K112" i="10" s="1"/>
  <c r="M167" i="10"/>
  <c r="M165" i="10" s="1"/>
  <c r="N347" i="10"/>
  <c r="N345" i="10" s="1"/>
  <c r="I364" i="10"/>
  <c r="K379" i="10"/>
  <c r="O472" i="10"/>
  <c r="M424" i="7"/>
  <c r="P424" i="7" s="1"/>
  <c r="L422" i="7"/>
  <c r="O422" i="7" s="1"/>
  <c r="P333" i="10"/>
  <c r="M331" i="10"/>
  <c r="P331" i="10" s="1"/>
  <c r="M405" i="10"/>
  <c r="P405" i="10" s="1"/>
  <c r="M404" i="10"/>
  <c r="P404" i="10" s="1"/>
  <c r="P407" i="10"/>
  <c r="L348" i="8"/>
  <c r="L347" i="8"/>
  <c r="L345" i="8" s="1"/>
  <c r="L33" i="10"/>
  <c r="L68" i="10"/>
  <c r="O68" i="10" s="1"/>
  <c r="O74" i="10"/>
  <c r="L72" i="10"/>
  <c r="O72" i="10" s="1"/>
  <c r="O170" i="10"/>
  <c r="L168" i="10"/>
  <c r="O168" i="10" s="1"/>
  <c r="I233" i="10"/>
  <c r="K233" i="10" s="1"/>
  <c r="K255" i="10"/>
  <c r="P351" i="10"/>
  <c r="L43" i="10"/>
  <c r="L41" i="10" s="1"/>
  <c r="O46" i="10"/>
  <c r="L44" i="10"/>
  <c r="O44" i="10" s="1"/>
  <c r="L23" i="10"/>
  <c r="K99" i="10"/>
  <c r="I87" i="10"/>
  <c r="K87" i="10" s="1"/>
  <c r="M264" i="10"/>
  <c r="M263" i="10"/>
  <c r="P96" i="10"/>
  <c r="M90" i="10"/>
  <c r="M88" i="10" s="1"/>
  <c r="L132" i="10"/>
  <c r="O132" i="10" s="1"/>
  <c r="M155" i="10"/>
  <c r="P155" i="10" s="1"/>
  <c r="O306" i="10"/>
  <c r="L304" i="10"/>
  <c r="O304" i="10" s="1"/>
  <c r="P323" i="10"/>
  <c r="M317" i="10"/>
  <c r="P317" i="10" s="1"/>
  <c r="M321" i="10"/>
  <c r="P321" i="10" s="1"/>
  <c r="M347" i="10"/>
  <c r="M345" i="10" s="1"/>
  <c r="K460" i="10"/>
  <c r="I442" i="10"/>
  <c r="K442" i="10" s="1"/>
  <c r="I130" i="10"/>
  <c r="K130" i="10" s="1"/>
  <c r="K146" i="10"/>
  <c r="L477" i="10"/>
  <c r="O477" i="10" s="1"/>
  <c r="L469" i="10"/>
  <c r="O469" i="10" s="1"/>
  <c r="L36" i="10"/>
  <c r="O36" i="10" s="1"/>
  <c r="O479" i="10"/>
  <c r="N134" i="6"/>
  <c r="N132" i="6" s="1"/>
  <c r="L94" i="9"/>
  <c r="O94" i="9" s="1"/>
  <c r="N391" i="9"/>
  <c r="N389" i="9" s="1"/>
  <c r="M404" i="9"/>
  <c r="P404" i="9" s="1"/>
  <c r="N392" i="9"/>
  <c r="L56" i="10"/>
  <c r="O56" i="10" s="1"/>
  <c r="L125" i="10"/>
  <c r="O125" i="10" s="1"/>
  <c r="M168" i="10"/>
  <c r="P168" i="10" s="1"/>
  <c r="M267" i="10"/>
  <c r="P267" i="10" s="1"/>
  <c r="N280" i="10"/>
  <c r="K360" i="10"/>
  <c r="M391" i="10"/>
  <c r="M424" i="10"/>
  <c r="L446" i="10"/>
  <c r="O557" i="10"/>
  <c r="L657" i="10"/>
  <c r="O657" i="10" s="1"/>
  <c r="N330" i="8"/>
  <c r="N328" i="8" s="1"/>
  <c r="L267" i="9"/>
  <c r="O267" i="9" s="1"/>
  <c r="P170" i="10"/>
  <c r="L283" i="10"/>
  <c r="O283" i="10" s="1"/>
  <c r="M300" i="10"/>
  <c r="L408" i="10"/>
  <c r="O408" i="10" s="1"/>
  <c r="O449" i="10"/>
  <c r="L304" i="8"/>
  <c r="O304" i="8" s="1"/>
  <c r="L347" i="9"/>
  <c r="L345" i="9" s="1"/>
  <c r="P74" i="10"/>
  <c r="K115" i="10"/>
  <c r="L121" i="10"/>
  <c r="O121" i="10" s="1"/>
  <c r="N151" i="10"/>
  <c r="N149" i="10" s="1"/>
  <c r="L183" i="10"/>
  <c r="L181" i="10" s="1"/>
  <c r="I260" i="10"/>
  <c r="K260" i="10" s="1"/>
  <c r="O285" i="10"/>
  <c r="P306" i="10"/>
  <c r="L404" i="10"/>
  <c r="P410" i="10"/>
  <c r="O431" i="10"/>
  <c r="M472" i="10"/>
  <c r="M469" i="10" s="1"/>
  <c r="P469" i="10" s="1"/>
  <c r="L546" i="10"/>
  <c r="O546" i="10" s="1"/>
  <c r="N279" i="8"/>
  <c r="N277" i="8" s="1"/>
  <c r="N121" i="9"/>
  <c r="N119" i="9" s="1"/>
  <c r="I190" i="9"/>
  <c r="K190" i="9" s="1"/>
  <c r="M280" i="9"/>
  <c r="P280" i="9" s="1"/>
  <c r="K822" i="9"/>
  <c r="K828" i="9"/>
  <c r="N26" i="10"/>
  <c r="N16" i="10" s="1"/>
  <c r="N14" i="10" s="1"/>
  <c r="L217" i="10"/>
  <c r="O217" i="10" s="1"/>
  <c r="L229" i="10"/>
  <c r="J327" i="10"/>
  <c r="K327" i="10" s="1"/>
  <c r="K370" i="10"/>
  <c r="K374" i="10"/>
  <c r="P394" i="10"/>
  <c r="K674" i="10"/>
  <c r="K822" i="10"/>
  <c r="K828" i="10"/>
  <c r="O323" i="9"/>
  <c r="L321" i="9"/>
  <c r="O321" i="9" s="1"/>
  <c r="P54" i="10"/>
  <c r="J288" i="8"/>
  <c r="J275" i="8" s="1"/>
  <c r="N331" i="8"/>
  <c r="O331" i="8" s="1"/>
  <c r="L404" i="8"/>
  <c r="O404" i="8" s="1"/>
  <c r="K822" i="8"/>
  <c r="K828" i="8"/>
  <c r="M125" i="9"/>
  <c r="P125" i="9" s="1"/>
  <c r="N134" i="9"/>
  <c r="N132" i="9" s="1"/>
  <c r="M300" i="9"/>
  <c r="M298" i="9" s="1"/>
  <c r="O410" i="9"/>
  <c r="L408" i="9"/>
  <c r="O408" i="9" s="1"/>
  <c r="O61" i="10"/>
  <c r="L26" i="10"/>
  <c r="N184" i="10"/>
  <c r="O184" i="10" s="1"/>
  <c r="P186" i="10"/>
  <c r="O186" i="10"/>
  <c r="N183" i="10"/>
  <c r="N181" i="10" s="1"/>
  <c r="L533" i="3"/>
  <c r="O533" i="3" s="1"/>
  <c r="M318" i="8"/>
  <c r="P318" i="8" s="1"/>
  <c r="M391" i="8"/>
  <c r="P391" i="8" s="1"/>
  <c r="L55" i="9"/>
  <c r="N125" i="9"/>
  <c r="M263" i="9"/>
  <c r="M261" i="9" s="1"/>
  <c r="M304" i="9"/>
  <c r="P304" i="9" s="1"/>
  <c r="N317" i="9"/>
  <c r="N315" i="9" s="1"/>
  <c r="L405" i="9"/>
  <c r="O405" i="9" s="1"/>
  <c r="L404" i="9"/>
  <c r="O404" i="9" s="1"/>
  <c r="L59" i="10"/>
  <c r="O59" i="10" s="1"/>
  <c r="N72" i="10"/>
  <c r="N68" i="10"/>
  <c r="N66" i="10" s="1"/>
  <c r="P154" i="10"/>
  <c r="M151" i="10"/>
  <c r="P151" i="10" s="1"/>
  <c r="L238" i="10"/>
  <c r="L228" i="10"/>
  <c r="K701" i="8"/>
  <c r="N23" i="9"/>
  <c r="N21" i="9" s="1"/>
  <c r="O170" i="9"/>
  <c r="L231" i="9"/>
  <c r="N263" i="9"/>
  <c r="N261" i="9" s="1"/>
  <c r="L317" i="9"/>
  <c r="O317" i="9" s="1"/>
  <c r="L198" i="10"/>
  <c r="O198" i="10" s="1"/>
  <c r="P266" i="10"/>
  <c r="P282" i="10"/>
  <c r="M280" i="10"/>
  <c r="P280" i="10" s="1"/>
  <c r="M279" i="10"/>
  <c r="N301" i="10"/>
  <c r="N300" i="10"/>
  <c r="N298" i="10" s="1"/>
  <c r="K309" i="10"/>
  <c r="I297" i="10"/>
  <c r="K297" i="10" s="1"/>
  <c r="L321" i="10"/>
  <c r="O321" i="10" s="1"/>
  <c r="O323" i="10"/>
  <c r="L317" i="10"/>
  <c r="K340" i="8"/>
  <c r="O93" i="9"/>
  <c r="M446" i="10"/>
  <c r="M447" i="10"/>
  <c r="P447" i="10" s="1"/>
  <c r="P449" i="10"/>
  <c r="I275" i="8"/>
  <c r="K275" i="8" s="1"/>
  <c r="P93" i="9"/>
  <c r="L249" i="9"/>
  <c r="O249" i="9" s="1"/>
  <c r="N9" i="10"/>
  <c r="N29" i="10"/>
  <c r="N28" i="10" s="1"/>
  <c r="N31" i="10"/>
  <c r="P42" i="10"/>
  <c r="M69" i="10"/>
  <c r="P69" i="10" s="1"/>
  <c r="P71" i="10"/>
  <c r="M68" i="10"/>
  <c r="P68" i="10" s="1"/>
  <c r="M23" i="10"/>
  <c r="I76" i="10"/>
  <c r="K80" i="10"/>
  <c r="N91" i="10"/>
  <c r="O91" i="10" s="1"/>
  <c r="P93" i="10"/>
  <c r="N23" i="10"/>
  <c r="O93" i="10"/>
  <c r="N90" i="10"/>
  <c r="N264" i="10"/>
  <c r="P336" i="10"/>
  <c r="M330" i="10"/>
  <c r="M26" i="10"/>
  <c r="M334" i="10"/>
  <c r="P334" i="10" s="1"/>
  <c r="K338" i="9"/>
  <c r="L688" i="9"/>
  <c r="O688" i="9" s="1"/>
  <c r="K821" i="9"/>
  <c r="K824" i="9"/>
  <c r="K827" i="9"/>
  <c r="L15" i="10"/>
  <c r="P46" i="10"/>
  <c r="K100" i="10"/>
  <c r="M121" i="10"/>
  <c r="P121" i="10" s="1"/>
  <c r="L151" i="10"/>
  <c r="O151" i="10" s="1"/>
  <c r="I248" i="10"/>
  <c r="K248" i="10" s="1"/>
  <c r="L249" i="10"/>
  <c r="O249" i="10" s="1"/>
  <c r="O269" i="10"/>
  <c r="L267" i="10"/>
  <c r="O267" i="10" s="1"/>
  <c r="I275" i="10"/>
  <c r="K275" i="10" s="1"/>
  <c r="P738" i="10"/>
  <c r="M737" i="10"/>
  <c r="P737" i="10" s="1"/>
  <c r="N404" i="9"/>
  <c r="N402" i="9" s="1"/>
  <c r="M134" i="10"/>
  <c r="L167" i="10"/>
  <c r="I276" i="10"/>
  <c r="K276" i="10" s="1"/>
  <c r="J288" i="10"/>
  <c r="J275" i="10" s="1"/>
  <c r="N317" i="10"/>
  <c r="N315" i="10" s="1"/>
  <c r="O333" i="10"/>
  <c r="L331" i="10"/>
  <c r="O331" i="10" s="1"/>
  <c r="P350" i="10"/>
  <c r="N404" i="10"/>
  <c r="N402" i="10" s="1"/>
  <c r="O686" i="10"/>
  <c r="M347" i="9"/>
  <c r="M345" i="9" s="1"/>
  <c r="K378" i="9"/>
  <c r="K381" i="9"/>
  <c r="L392" i="9"/>
  <c r="O392" i="9" s="1"/>
  <c r="I654" i="9"/>
  <c r="K654" i="9" s="1"/>
  <c r="L658" i="9"/>
  <c r="O658" i="9" s="1"/>
  <c r="O660" i="9"/>
  <c r="L12" i="10"/>
  <c r="L19" i="10"/>
  <c r="L29" i="10"/>
  <c r="L55" i="10"/>
  <c r="P140" i="10"/>
  <c r="K244" i="10"/>
  <c r="I237" i="10"/>
  <c r="P262" i="10"/>
  <c r="O266" i="10"/>
  <c r="L264" i="10"/>
  <c r="P285" i="10"/>
  <c r="M283" i="10"/>
  <c r="P283" i="10" s="1"/>
  <c r="P353" i="10"/>
  <c r="I522" i="10"/>
  <c r="K522" i="10" s="1"/>
  <c r="K537" i="10"/>
  <c r="L36" i="9"/>
  <c r="O36" i="9" s="1"/>
  <c r="M12" i="10"/>
  <c r="M19" i="10"/>
  <c r="P32" i="10"/>
  <c r="M29" i="10"/>
  <c r="P120" i="10"/>
  <c r="P137" i="10"/>
  <c r="P316" i="10"/>
  <c r="O336" i="10"/>
  <c r="L334" i="10"/>
  <c r="O334" i="10" s="1"/>
  <c r="O353" i="10"/>
  <c r="L351" i="10"/>
  <c r="O351" i="10" s="1"/>
  <c r="P403" i="10"/>
  <c r="O504" i="10"/>
  <c r="L502" i="10"/>
  <c r="O502" i="10" s="1"/>
  <c r="P524" i="10"/>
  <c r="M523" i="10"/>
  <c r="P523" i="10" s="1"/>
  <c r="P771" i="10"/>
  <c r="M770" i="10"/>
  <c r="P770" i="10" s="1"/>
  <c r="P788" i="10"/>
  <c r="M786" i="10"/>
  <c r="P786" i="10" s="1"/>
  <c r="I785" i="10"/>
  <c r="K785" i="10" s="1"/>
  <c r="K800" i="10"/>
  <c r="O806" i="10"/>
  <c r="L805" i="10"/>
  <c r="O805" i="10" s="1"/>
  <c r="O787" i="10"/>
  <c r="O470" i="10"/>
  <c r="N504" i="10"/>
  <c r="N502" i="10" s="1"/>
  <c r="N414" i="10" s="1"/>
  <c r="N505" i="10"/>
  <c r="K559" i="10"/>
  <c r="I543" i="10"/>
  <c r="K543" i="10" s="1"/>
  <c r="J592" i="10"/>
  <c r="K592" i="10" s="1"/>
  <c r="K593" i="10"/>
  <c r="P755" i="10"/>
  <c r="M754" i="10"/>
  <c r="P754" i="10" s="1"/>
  <c r="L632" i="10"/>
  <c r="O632" i="10" s="1"/>
  <c r="O634" i="10"/>
  <c r="O350" i="10"/>
  <c r="L348" i="10"/>
  <c r="O348" i="10" s="1"/>
  <c r="K365" i="10"/>
  <c r="O468" i="10"/>
  <c r="P687" i="10"/>
  <c r="M685" i="10"/>
  <c r="P685" i="10" s="1"/>
  <c r="P807" i="10"/>
  <c r="M805" i="10"/>
  <c r="P805" i="10" s="1"/>
  <c r="L392" i="10"/>
  <c r="O392" i="10" s="1"/>
  <c r="L395" i="10"/>
  <c r="O395" i="10" s="1"/>
  <c r="L422" i="10"/>
  <c r="O422" i="10" s="1"/>
  <c r="J537" i="10"/>
  <c r="J522" i="10" s="1"/>
  <c r="L547" i="10"/>
  <c r="O547" i="10" s="1"/>
  <c r="I654" i="10"/>
  <c r="K654" i="10" s="1"/>
  <c r="L658" i="10"/>
  <c r="O658" i="10" s="1"/>
  <c r="O791" i="10"/>
  <c r="I434" i="10"/>
  <c r="I443" i="10"/>
  <c r="K443" i="10" s="1"/>
  <c r="L447" i="10"/>
  <c r="O447" i="10" s="1"/>
  <c r="L454" i="10"/>
  <c r="O454" i="10" s="1"/>
  <c r="L533" i="10"/>
  <c r="O533" i="10" s="1"/>
  <c r="K675" i="10"/>
  <c r="L525" i="10"/>
  <c r="M545" i="10"/>
  <c r="K576" i="10"/>
  <c r="K651" i="10"/>
  <c r="K672" i="10"/>
  <c r="L688" i="10"/>
  <c r="O688" i="10" s="1"/>
  <c r="K669" i="10"/>
  <c r="L687" i="10"/>
  <c r="O687" i="10" s="1"/>
  <c r="M330" i="5"/>
  <c r="M328" i="5" s="1"/>
  <c r="L134" i="6"/>
  <c r="O134" i="6" s="1"/>
  <c r="N279" i="6"/>
  <c r="N277" i="6" s="1"/>
  <c r="M43" i="7"/>
  <c r="M41" i="7" s="1"/>
  <c r="I654" i="8"/>
  <c r="K654" i="8" s="1"/>
  <c r="N43" i="9"/>
  <c r="N41" i="9" s="1"/>
  <c r="M59" i="9"/>
  <c r="P59" i="9" s="1"/>
  <c r="L125" i="9"/>
  <c r="O125" i="9" s="1"/>
  <c r="L151" i="9"/>
  <c r="O151" i="9" s="1"/>
  <c r="L229" i="9"/>
  <c r="N301" i="9"/>
  <c r="P301" i="9" s="1"/>
  <c r="P303" i="9"/>
  <c r="N321" i="9"/>
  <c r="M424" i="9"/>
  <c r="M421" i="9" s="1"/>
  <c r="P421" i="9" s="1"/>
  <c r="I442" i="9"/>
  <c r="K442" i="9" s="1"/>
  <c r="K675" i="9"/>
  <c r="J721" i="9"/>
  <c r="M404" i="8"/>
  <c r="P404" i="8" s="1"/>
  <c r="L408" i="8"/>
  <c r="O408" i="8" s="1"/>
  <c r="L33" i="9"/>
  <c r="O33" i="9" s="1"/>
  <c r="P140" i="9"/>
  <c r="L152" i="9"/>
  <c r="O152" i="9" s="1"/>
  <c r="N151" i="9"/>
  <c r="N149" i="9" s="1"/>
  <c r="L168" i="9"/>
  <c r="O168" i="9" s="1"/>
  <c r="N167" i="9"/>
  <c r="N165" i="9" s="1"/>
  <c r="L304" i="9"/>
  <c r="O304" i="9" s="1"/>
  <c r="O407" i="9"/>
  <c r="L422" i="9"/>
  <c r="O422" i="9" s="1"/>
  <c r="O61" i="8"/>
  <c r="P96" i="9"/>
  <c r="L280" i="9"/>
  <c r="O280" i="9" s="1"/>
  <c r="L395" i="9"/>
  <c r="O395" i="9" s="1"/>
  <c r="O424" i="9"/>
  <c r="J537" i="9"/>
  <c r="J522" i="9" s="1"/>
  <c r="I233" i="7"/>
  <c r="K233" i="7" s="1"/>
  <c r="I237" i="7"/>
  <c r="K237" i="7" s="1"/>
  <c r="I216" i="8"/>
  <c r="K216" i="8" s="1"/>
  <c r="P266" i="8"/>
  <c r="N348" i="8"/>
  <c r="O44" i="9"/>
  <c r="M55" i="9"/>
  <c r="M53" i="9" s="1"/>
  <c r="L90" i="9"/>
  <c r="L88" i="9" s="1"/>
  <c r="I112" i="9"/>
  <c r="K112" i="9" s="1"/>
  <c r="N135" i="9"/>
  <c r="P135" i="9" s="1"/>
  <c r="O137" i="9"/>
  <c r="L330" i="9"/>
  <c r="L328" i="9" s="1"/>
  <c r="K340" i="9"/>
  <c r="K359" i="9"/>
  <c r="N408" i="9"/>
  <c r="L546" i="9"/>
  <c r="O546" i="9" s="1"/>
  <c r="K560" i="9"/>
  <c r="J722" i="9"/>
  <c r="L122" i="8"/>
  <c r="O122" i="8" s="1"/>
  <c r="P46" i="9"/>
  <c r="O69" i="9"/>
  <c r="O91" i="9"/>
  <c r="L183" i="9"/>
  <c r="L181" i="9" s="1"/>
  <c r="P189" i="9"/>
  <c r="K309" i="9"/>
  <c r="K355" i="9"/>
  <c r="L469" i="9"/>
  <c r="L632" i="9"/>
  <c r="O632" i="9" s="1"/>
  <c r="K674" i="9"/>
  <c r="K559" i="9"/>
  <c r="I543" i="9"/>
  <c r="K543" i="9" s="1"/>
  <c r="I260" i="8"/>
  <c r="K260" i="8" s="1"/>
  <c r="L68" i="9"/>
  <c r="M138" i="9"/>
  <c r="P138" i="9" s="1"/>
  <c r="N152" i="9"/>
  <c r="K725" i="7"/>
  <c r="M68" i="8"/>
  <c r="P68" i="8" s="1"/>
  <c r="I628" i="8"/>
  <c r="K628" i="8" s="1"/>
  <c r="L56" i="9"/>
  <c r="O56" i="9" s="1"/>
  <c r="K159" i="9"/>
  <c r="L167" i="9"/>
  <c r="L171" i="9"/>
  <c r="O171" i="9" s="1"/>
  <c r="O186" i="9"/>
  <c r="N264" i="9"/>
  <c r="P264" i="9" s="1"/>
  <c r="P266" i="9"/>
  <c r="L334" i="9"/>
  <c r="O334" i="9" s="1"/>
  <c r="M330" i="9"/>
  <c r="M328" i="9" s="1"/>
  <c r="K374" i="9"/>
  <c r="L391" i="9"/>
  <c r="O391" i="9" s="1"/>
  <c r="I522" i="9"/>
  <c r="K522" i="9" s="1"/>
  <c r="M549" i="9"/>
  <c r="O791" i="9"/>
  <c r="L788" i="9"/>
  <c r="O788" i="9" s="1"/>
  <c r="P46" i="8"/>
  <c r="N183" i="8"/>
  <c r="M44" i="9"/>
  <c r="P44" i="9" s="1"/>
  <c r="O71" i="9"/>
  <c r="M121" i="9"/>
  <c r="M151" i="9"/>
  <c r="M149" i="9" s="1"/>
  <c r="P149" i="9" s="1"/>
  <c r="N184" i="9"/>
  <c r="O184" i="9" s="1"/>
  <c r="L187" i="9"/>
  <c r="O187" i="9" s="1"/>
  <c r="L198" i="9"/>
  <c r="O198" i="9" s="1"/>
  <c r="O303" i="9"/>
  <c r="L318" i="9"/>
  <c r="O318" i="9" s="1"/>
  <c r="K379" i="9"/>
  <c r="L547" i="9"/>
  <c r="O547" i="9" s="1"/>
  <c r="N134" i="7"/>
  <c r="N132" i="7" s="1"/>
  <c r="K325" i="7"/>
  <c r="M47" i="9"/>
  <c r="P47" i="9" s="1"/>
  <c r="P56" i="9"/>
  <c r="O58" i="9"/>
  <c r="M72" i="9"/>
  <c r="P72" i="9" s="1"/>
  <c r="M122" i="9"/>
  <c r="P122" i="9" s="1"/>
  <c r="P173" i="9"/>
  <c r="I208" i="9"/>
  <c r="K208" i="9" s="1"/>
  <c r="L209" i="9"/>
  <c r="O209" i="9" s="1"/>
  <c r="L230" i="9"/>
  <c r="O336" i="9"/>
  <c r="K369" i="9"/>
  <c r="K372" i="9"/>
  <c r="O549" i="9"/>
  <c r="M59" i="7"/>
  <c r="P59" i="7" s="1"/>
  <c r="I297" i="7"/>
  <c r="K297" i="7" s="1"/>
  <c r="L23" i="9"/>
  <c r="O266" i="9"/>
  <c r="P660" i="9"/>
  <c r="M657" i="9"/>
  <c r="P657" i="9" s="1"/>
  <c r="L230" i="7"/>
  <c r="L217" i="9"/>
  <c r="O217" i="9" s="1"/>
  <c r="K365" i="9"/>
  <c r="K370" i="9"/>
  <c r="K385" i="9"/>
  <c r="K621" i="9"/>
  <c r="L657" i="9"/>
  <c r="O657" i="9" s="1"/>
  <c r="K672" i="9"/>
  <c r="K568" i="9"/>
  <c r="K823" i="9"/>
  <c r="K237" i="9"/>
  <c r="M404" i="7"/>
  <c r="P404" i="7" s="1"/>
  <c r="M408" i="7"/>
  <c r="P408" i="7" s="1"/>
  <c r="K98" i="8"/>
  <c r="L121" i="8"/>
  <c r="O121" i="8" s="1"/>
  <c r="O154" i="8"/>
  <c r="L228" i="8"/>
  <c r="M317" i="8"/>
  <c r="P317" i="8" s="1"/>
  <c r="J364" i="8"/>
  <c r="K378" i="8"/>
  <c r="K381" i="8"/>
  <c r="K825" i="8"/>
  <c r="M15" i="9"/>
  <c r="N26" i="9"/>
  <c r="N24" i="9" s="1"/>
  <c r="M29" i="9"/>
  <c r="O46" i="9"/>
  <c r="P58" i="9"/>
  <c r="M23" i="9"/>
  <c r="M21" i="9" s="1"/>
  <c r="K79" i="9"/>
  <c r="I77" i="9"/>
  <c r="P124" i="9"/>
  <c r="P137" i="9"/>
  <c r="M134" i="9"/>
  <c r="M168" i="9"/>
  <c r="P168" i="9" s="1"/>
  <c r="M167" i="9"/>
  <c r="K224" i="9"/>
  <c r="I216" i="9"/>
  <c r="K216" i="9" s="1"/>
  <c r="L279" i="9"/>
  <c r="M283" i="9"/>
  <c r="P283" i="9" s="1"/>
  <c r="N347" i="9"/>
  <c r="O350" i="9"/>
  <c r="N348" i="9"/>
  <c r="O348" i="9" s="1"/>
  <c r="L217" i="8"/>
  <c r="O217" i="8" s="1"/>
  <c r="O12" i="9"/>
  <c r="L9" i="9"/>
  <c r="O25" i="9"/>
  <c r="L15" i="9"/>
  <c r="L26" i="9"/>
  <c r="L47" i="9"/>
  <c r="O47" i="9" s="1"/>
  <c r="M68" i="9"/>
  <c r="M66" i="9" s="1"/>
  <c r="M69" i="9"/>
  <c r="P69" i="9" s="1"/>
  <c r="I76" i="9"/>
  <c r="K80" i="9"/>
  <c r="M184" i="9"/>
  <c r="P186" i="9"/>
  <c r="K204" i="9"/>
  <c r="I197" i="9"/>
  <c r="K197" i="9" s="1"/>
  <c r="N279" i="9"/>
  <c r="N277" i="9" s="1"/>
  <c r="N351" i="9"/>
  <c r="O351" i="9" s="1"/>
  <c r="O353" i="9"/>
  <c r="O266" i="7"/>
  <c r="L134" i="8"/>
  <c r="O134" i="8" s="1"/>
  <c r="O184" i="8"/>
  <c r="N300" i="8"/>
  <c r="N298" i="8" s="1"/>
  <c r="I364" i="8"/>
  <c r="K568" i="8"/>
  <c r="K823" i="8"/>
  <c r="P67" i="9"/>
  <c r="I86" i="9"/>
  <c r="K86" i="9" s="1"/>
  <c r="L138" i="9"/>
  <c r="O138" i="9" s="1"/>
  <c r="O140" i="9"/>
  <c r="K144" i="9"/>
  <c r="I174" i="9"/>
  <c r="K271" i="9"/>
  <c r="K288" i="9"/>
  <c r="I275" i="9"/>
  <c r="K275" i="9" s="1"/>
  <c r="L318" i="6"/>
  <c r="O318" i="6" s="1"/>
  <c r="L19" i="9"/>
  <c r="N15" i="9"/>
  <c r="O32" i="9"/>
  <c r="L29" i="9"/>
  <c r="L72" i="9"/>
  <c r="O72" i="9" s="1"/>
  <c r="O74" i="9"/>
  <c r="L134" i="9"/>
  <c r="M183" i="9"/>
  <c r="I233" i="9"/>
  <c r="K233" i="9" s="1"/>
  <c r="K244" i="9"/>
  <c r="K255" i="9"/>
  <c r="I248" i="9"/>
  <c r="K248" i="9" s="1"/>
  <c r="I276" i="9"/>
  <c r="K276" i="9" s="1"/>
  <c r="P278" i="9"/>
  <c r="J288" i="9"/>
  <c r="J275" i="9" s="1"/>
  <c r="K297" i="9"/>
  <c r="P323" i="9"/>
  <c r="O331" i="9"/>
  <c r="O333" i="9"/>
  <c r="N330" i="9"/>
  <c r="P12" i="9"/>
  <c r="M19" i="9"/>
  <c r="P25" i="9"/>
  <c r="O49" i="9"/>
  <c r="P71" i="9"/>
  <c r="L121" i="9"/>
  <c r="O121" i="9" s="1"/>
  <c r="M334" i="9"/>
  <c r="P334" i="9" s="1"/>
  <c r="P336" i="9"/>
  <c r="O390" i="9"/>
  <c r="P394" i="9"/>
  <c r="M392" i="9"/>
  <c r="P392" i="9" s="1"/>
  <c r="M391" i="9"/>
  <c r="P391" i="9" s="1"/>
  <c r="O58" i="8"/>
  <c r="N19" i="9"/>
  <c r="M26" i="9"/>
  <c r="N29" i="9"/>
  <c r="N28" i="9" s="1"/>
  <c r="N31" i="9"/>
  <c r="L43" i="9"/>
  <c r="O54" i="9"/>
  <c r="M91" i="9"/>
  <c r="P91" i="9" s="1"/>
  <c r="M90" i="9"/>
  <c r="K99" i="9"/>
  <c r="I130" i="9"/>
  <c r="K130" i="9" s="1"/>
  <c r="L238" i="9"/>
  <c r="L228" i="9"/>
  <c r="L283" i="9"/>
  <c r="O283" i="9" s="1"/>
  <c r="M317" i="9"/>
  <c r="P320" i="9"/>
  <c r="O329" i="9"/>
  <c r="K145" i="9"/>
  <c r="I143" i="9"/>
  <c r="L263" i="9"/>
  <c r="L300" i="9"/>
  <c r="M331" i="9"/>
  <c r="P331" i="9" s="1"/>
  <c r="P333" i="9"/>
  <c r="P350" i="9"/>
  <c r="M348" i="9"/>
  <c r="K360" i="9"/>
  <c r="K362" i="9"/>
  <c r="J364" i="9"/>
  <c r="M408" i="9"/>
  <c r="P408" i="9" s="1"/>
  <c r="P410" i="9"/>
  <c r="L444" i="9"/>
  <c r="O444" i="9" s="1"/>
  <c r="O449" i="9"/>
  <c r="M449" i="9"/>
  <c r="L447" i="9"/>
  <c r="O447" i="9" s="1"/>
  <c r="O456" i="9"/>
  <c r="L454" i="9"/>
  <c r="O454" i="9" s="1"/>
  <c r="M279" i="9"/>
  <c r="P279" i="9" s="1"/>
  <c r="O403" i="9"/>
  <c r="K435" i="9"/>
  <c r="J433" i="9"/>
  <c r="J417" i="9" s="1"/>
  <c r="I433" i="9"/>
  <c r="P468" i="9"/>
  <c r="K462" i="9"/>
  <c r="I443" i="9"/>
  <c r="K443" i="9" s="1"/>
  <c r="O420" i="9"/>
  <c r="M469" i="9"/>
  <c r="P469" i="9" s="1"/>
  <c r="M470" i="9"/>
  <c r="P470" i="9" s="1"/>
  <c r="P472" i="9"/>
  <c r="P353" i="9"/>
  <c r="M351" i="9"/>
  <c r="P397" i="9"/>
  <c r="M395" i="9"/>
  <c r="P395" i="9" s="1"/>
  <c r="M405" i="9"/>
  <c r="P405" i="9" s="1"/>
  <c r="P407" i="9"/>
  <c r="P504" i="9"/>
  <c r="M502" i="9"/>
  <c r="P502" i="9" s="1"/>
  <c r="I592" i="9"/>
  <c r="K592" i="9" s="1"/>
  <c r="K593" i="9"/>
  <c r="P631" i="9"/>
  <c r="M629" i="9"/>
  <c r="P629" i="9" s="1"/>
  <c r="P687" i="9"/>
  <c r="M685" i="9"/>
  <c r="P685" i="9" s="1"/>
  <c r="P738" i="9"/>
  <c r="M737" i="9"/>
  <c r="P737" i="9" s="1"/>
  <c r="P771" i="9"/>
  <c r="M770" i="9"/>
  <c r="P770" i="9" s="1"/>
  <c r="P788" i="9"/>
  <c r="M786" i="9"/>
  <c r="P786" i="9" s="1"/>
  <c r="P807" i="9"/>
  <c r="M805" i="9"/>
  <c r="P805" i="9" s="1"/>
  <c r="O503" i="9"/>
  <c r="L502" i="9"/>
  <c r="O502" i="9" s="1"/>
  <c r="O787" i="9"/>
  <c r="I785" i="9"/>
  <c r="K785" i="9" s="1"/>
  <c r="K800" i="9"/>
  <c r="O806" i="9"/>
  <c r="L805" i="9"/>
  <c r="O805" i="9" s="1"/>
  <c r="N523" i="9"/>
  <c r="N414" i="9" s="1"/>
  <c r="O630" i="9"/>
  <c r="O686" i="9"/>
  <c r="N632" i="9"/>
  <c r="P755" i="9"/>
  <c r="M754" i="9"/>
  <c r="P754" i="9" s="1"/>
  <c r="N805" i="9"/>
  <c r="J327" i="9"/>
  <c r="K327" i="9" s="1"/>
  <c r="K438" i="9"/>
  <c r="I434" i="9"/>
  <c r="P445" i="9"/>
  <c r="O472" i="9"/>
  <c r="O524" i="9"/>
  <c r="L533" i="9"/>
  <c r="O533" i="9" s="1"/>
  <c r="M658" i="9"/>
  <c r="P658" i="9" s="1"/>
  <c r="L470" i="9"/>
  <c r="O470" i="9" s="1"/>
  <c r="L477" i="9"/>
  <c r="O477" i="9" s="1"/>
  <c r="L525" i="9"/>
  <c r="O525" i="9" s="1"/>
  <c r="K576" i="9"/>
  <c r="L639" i="9"/>
  <c r="O639" i="9" s="1"/>
  <c r="L631" i="9"/>
  <c r="O631" i="9" s="1"/>
  <c r="K669" i="9"/>
  <c r="L687" i="9"/>
  <c r="O687" i="9" s="1"/>
  <c r="I164" i="8"/>
  <c r="K164" i="8" s="1"/>
  <c r="K174" i="8"/>
  <c r="N300" i="3"/>
  <c r="N298" i="3" s="1"/>
  <c r="N183" i="5"/>
  <c r="N181" i="5" s="1"/>
  <c r="M167" i="7"/>
  <c r="M165" i="7" s="1"/>
  <c r="L317" i="7"/>
  <c r="O317" i="7" s="1"/>
  <c r="L687" i="7"/>
  <c r="L685" i="7" s="1"/>
  <c r="O685" i="7" s="1"/>
  <c r="I112" i="8"/>
  <c r="K112" i="8" s="1"/>
  <c r="L151" i="8"/>
  <c r="O151" i="8" s="1"/>
  <c r="L167" i="8"/>
  <c r="L165" i="8" s="1"/>
  <c r="O320" i="8"/>
  <c r="L422" i="8"/>
  <c r="O422" i="8" s="1"/>
  <c r="L546" i="8"/>
  <c r="O546" i="8" s="1"/>
  <c r="K621" i="8"/>
  <c r="L230" i="6"/>
  <c r="M69" i="8"/>
  <c r="P69" i="8" s="1"/>
  <c r="O93" i="8"/>
  <c r="L90" i="8"/>
  <c r="L88" i="8" s="1"/>
  <c r="N121" i="8"/>
  <c r="N119" i="8" s="1"/>
  <c r="M134" i="8"/>
  <c r="P134" i="8" s="1"/>
  <c r="N151" i="8"/>
  <c r="N149" i="8" s="1"/>
  <c r="M167" i="8"/>
  <c r="M165" i="8" s="1"/>
  <c r="O170" i="8"/>
  <c r="K176" i="8"/>
  <c r="L183" i="8"/>
  <c r="L181" i="8" s="1"/>
  <c r="N279" i="7"/>
  <c r="N277" i="7" s="1"/>
  <c r="L55" i="8"/>
  <c r="L53" i="8" s="1"/>
  <c r="I77" i="8"/>
  <c r="K77" i="8" s="1"/>
  <c r="L94" i="8"/>
  <c r="O94" i="8" s="1"/>
  <c r="L125" i="8"/>
  <c r="O125" i="8" s="1"/>
  <c r="I130" i="8"/>
  <c r="K130" i="8" s="1"/>
  <c r="L155" i="8"/>
  <c r="O155" i="8" s="1"/>
  <c r="L171" i="8"/>
  <c r="O171" i="8" s="1"/>
  <c r="O186" i="8"/>
  <c r="L391" i="8"/>
  <c r="O391" i="8" s="1"/>
  <c r="L405" i="8"/>
  <c r="O405" i="8" s="1"/>
  <c r="O407" i="8"/>
  <c r="L69" i="7"/>
  <c r="O69" i="7" s="1"/>
  <c r="M283" i="7"/>
  <c r="P283" i="7" s="1"/>
  <c r="L56" i="8"/>
  <c r="O56" i="8" s="1"/>
  <c r="M94" i="8"/>
  <c r="P94" i="8" s="1"/>
  <c r="M135" i="8"/>
  <c r="P135" i="8" s="1"/>
  <c r="L187" i="8"/>
  <c r="O187" i="8" s="1"/>
  <c r="I190" i="8"/>
  <c r="K190" i="8" s="1"/>
  <c r="K338" i="8"/>
  <c r="L395" i="8"/>
  <c r="O395" i="8" s="1"/>
  <c r="O479" i="8"/>
  <c r="K826" i="8"/>
  <c r="M348" i="8"/>
  <c r="P350" i="8"/>
  <c r="O449" i="8"/>
  <c r="L446" i="8"/>
  <c r="O446" i="8" s="1"/>
  <c r="K100" i="7"/>
  <c r="M43" i="8"/>
  <c r="M41" i="8" s="1"/>
  <c r="K116" i="8"/>
  <c r="K244" i="8"/>
  <c r="P285" i="8"/>
  <c r="M283" i="8"/>
  <c r="P283" i="8" s="1"/>
  <c r="L330" i="8"/>
  <c r="L328" i="8" s="1"/>
  <c r="M331" i="8"/>
  <c r="P333" i="8"/>
  <c r="J327" i="8"/>
  <c r="K327" i="8" s="1"/>
  <c r="N408" i="8"/>
  <c r="N404" i="8"/>
  <c r="N402" i="8" s="1"/>
  <c r="K435" i="8"/>
  <c r="I522" i="8"/>
  <c r="K522" i="8" s="1"/>
  <c r="I130" i="4"/>
  <c r="K130" i="4" s="1"/>
  <c r="M167" i="5"/>
  <c r="M165" i="5" s="1"/>
  <c r="I87" i="6"/>
  <c r="K87" i="6" s="1"/>
  <c r="K370" i="6"/>
  <c r="L90" i="7"/>
  <c r="L88" i="7" s="1"/>
  <c r="M134" i="7"/>
  <c r="P134" i="7" s="1"/>
  <c r="O186" i="7"/>
  <c r="M23" i="8"/>
  <c r="M21" i="8" s="1"/>
  <c r="M44" i="8"/>
  <c r="P44" i="8" s="1"/>
  <c r="I87" i="8"/>
  <c r="K87" i="8" s="1"/>
  <c r="N90" i="8"/>
  <c r="N88" i="8" s="1"/>
  <c r="M121" i="8"/>
  <c r="N125" i="8"/>
  <c r="M138" i="8"/>
  <c r="P138" i="8" s="1"/>
  <c r="P140" i="8"/>
  <c r="M151" i="8"/>
  <c r="N155" i="8"/>
  <c r="N167" i="8"/>
  <c r="M183" i="8"/>
  <c r="N187" i="8"/>
  <c r="L198" i="8"/>
  <c r="O198" i="8" s="1"/>
  <c r="L209" i="8"/>
  <c r="O209" i="8" s="1"/>
  <c r="N264" i="8"/>
  <c r="O264" i="8" s="1"/>
  <c r="O266" i="8"/>
  <c r="M279" i="8"/>
  <c r="P279" i="8" s="1"/>
  <c r="P282" i="8"/>
  <c r="M280" i="8"/>
  <c r="P280" i="8" s="1"/>
  <c r="M300" i="8"/>
  <c r="O303" i="8"/>
  <c r="L301" i="8"/>
  <c r="O301" i="8" s="1"/>
  <c r="N321" i="8"/>
  <c r="N317" i="8"/>
  <c r="N315" i="8" s="1"/>
  <c r="M330" i="8"/>
  <c r="K369" i="8"/>
  <c r="K385" i="8"/>
  <c r="N391" i="8"/>
  <c r="N389" i="8" s="1"/>
  <c r="O431" i="8"/>
  <c r="L421" i="8"/>
  <c r="O421" i="8" s="1"/>
  <c r="I543" i="8"/>
  <c r="K543" i="8" s="1"/>
  <c r="M549" i="8"/>
  <c r="M547" i="8" s="1"/>
  <c r="P547" i="8" s="1"/>
  <c r="O660" i="8"/>
  <c r="L657" i="8"/>
  <c r="O657" i="8" s="1"/>
  <c r="J721" i="8"/>
  <c r="M125" i="6"/>
  <c r="P125" i="6" s="1"/>
  <c r="L72" i="7"/>
  <c r="O72" i="7" s="1"/>
  <c r="M90" i="7"/>
  <c r="M88" i="7" s="1"/>
  <c r="M171" i="7"/>
  <c r="P171" i="7" s="1"/>
  <c r="M263" i="7"/>
  <c r="M261" i="7" s="1"/>
  <c r="M267" i="7"/>
  <c r="P267" i="7" s="1"/>
  <c r="K340" i="7"/>
  <c r="K370" i="7"/>
  <c r="M47" i="8"/>
  <c r="P47" i="8" s="1"/>
  <c r="P93" i="8"/>
  <c r="O96" i="8"/>
  <c r="I208" i="8"/>
  <c r="K208" i="8" s="1"/>
  <c r="L238" i="8"/>
  <c r="O238" i="8" s="1"/>
  <c r="L249" i="8"/>
  <c r="O249" i="8" s="1"/>
  <c r="L263" i="8"/>
  <c r="L267" i="8"/>
  <c r="O267" i="8" s="1"/>
  <c r="M321" i="8"/>
  <c r="P321" i="8" s="1"/>
  <c r="O394" i="8"/>
  <c r="O549" i="8"/>
  <c r="O56" i="7"/>
  <c r="I216" i="7"/>
  <c r="K216" i="7" s="1"/>
  <c r="P184" i="8"/>
  <c r="M263" i="8"/>
  <c r="M317" i="6"/>
  <c r="P317" i="6" s="1"/>
  <c r="L151" i="7"/>
  <c r="O151" i="7" s="1"/>
  <c r="N183" i="7"/>
  <c r="N181" i="7" s="1"/>
  <c r="N283" i="7"/>
  <c r="O285" i="7"/>
  <c r="N317" i="7"/>
  <c r="N315" i="7" s="1"/>
  <c r="L454" i="7"/>
  <c r="O454" i="7" s="1"/>
  <c r="L33" i="8"/>
  <c r="L36" i="8"/>
  <c r="O36" i="8" s="1"/>
  <c r="O46" i="8"/>
  <c r="N55" i="8"/>
  <c r="M72" i="8"/>
  <c r="P72" i="8" s="1"/>
  <c r="N91" i="8"/>
  <c r="P91" i="8" s="1"/>
  <c r="N168" i="8"/>
  <c r="O168" i="8" s="1"/>
  <c r="L231" i="8"/>
  <c r="I314" i="8"/>
  <c r="K314" i="8" s="1"/>
  <c r="K365" i="8"/>
  <c r="L469" i="8"/>
  <c r="M472" i="8"/>
  <c r="P472" i="8" s="1"/>
  <c r="L631" i="8"/>
  <c r="O631" i="8" s="1"/>
  <c r="O641" i="8"/>
  <c r="K827" i="8"/>
  <c r="K560" i="8"/>
  <c r="J722" i="8"/>
  <c r="O351" i="8"/>
  <c r="K379" i="8"/>
  <c r="K577" i="8"/>
  <c r="K821" i="8"/>
  <c r="J722" i="2"/>
  <c r="I248" i="6"/>
  <c r="K248" i="6" s="1"/>
  <c r="O9" i="8"/>
  <c r="I260" i="6"/>
  <c r="K260" i="6" s="1"/>
  <c r="K271" i="6"/>
  <c r="N9" i="8"/>
  <c r="I190" i="5"/>
  <c r="K190" i="5" s="1"/>
  <c r="N300" i="5"/>
  <c r="N298" i="5" s="1"/>
  <c r="M391" i="5"/>
  <c r="P391" i="5" s="1"/>
  <c r="O46" i="7"/>
  <c r="N44" i="7"/>
  <c r="O44" i="7" s="1"/>
  <c r="N300" i="6"/>
  <c r="N298" i="6" s="1"/>
  <c r="M121" i="7"/>
  <c r="P121" i="7" s="1"/>
  <c r="K176" i="7"/>
  <c r="K193" i="7"/>
  <c r="I208" i="7"/>
  <c r="K208" i="7" s="1"/>
  <c r="L231" i="7"/>
  <c r="L304" i="7"/>
  <c r="O304" i="7" s="1"/>
  <c r="M395" i="7"/>
  <c r="P395" i="7" s="1"/>
  <c r="K823" i="7"/>
  <c r="K826" i="7"/>
  <c r="O12" i="8"/>
  <c r="N15" i="8"/>
  <c r="N19" i="8"/>
  <c r="P22" i="8"/>
  <c r="M19" i="8"/>
  <c r="M12" i="8"/>
  <c r="M26" i="8"/>
  <c r="N43" i="8"/>
  <c r="N47" i="8"/>
  <c r="N26" i="8"/>
  <c r="N16" i="8" s="1"/>
  <c r="N59" i="8"/>
  <c r="O59" i="8" s="1"/>
  <c r="P61" i="8"/>
  <c r="M59" i="8"/>
  <c r="N68" i="8"/>
  <c r="N66" i="8" s="1"/>
  <c r="P133" i="8"/>
  <c r="K225" i="8"/>
  <c r="O346" i="8"/>
  <c r="L59" i="7"/>
  <c r="O59" i="7" s="1"/>
  <c r="O91" i="7"/>
  <c r="I130" i="7"/>
  <c r="K130" i="7" s="1"/>
  <c r="L135" i="7"/>
  <c r="O135" i="7" s="1"/>
  <c r="P170" i="7"/>
  <c r="N68" i="7"/>
  <c r="N66" i="7" s="1"/>
  <c r="I77" i="7"/>
  <c r="I65" i="7" s="1"/>
  <c r="K65" i="7" s="1"/>
  <c r="L249" i="7"/>
  <c r="O249" i="7" s="1"/>
  <c r="L36" i="7"/>
  <c r="O36" i="7" s="1"/>
  <c r="L631" i="7"/>
  <c r="O631" i="7" s="1"/>
  <c r="M690" i="7"/>
  <c r="M687" i="7" s="1"/>
  <c r="M685" i="7" s="1"/>
  <c r="P685" i="7" s="1"/>
  <c r="J721" i="7"/>
  <c r="K721" i="7" s="1"/>
  <c r="L44" i="8"/>
  <c r="O44" i="8" s="1"/>
  <c r="P58" i="8"/>
  <c r="M56" i="8"/>
  <c r="P56" i="8" s="1"/>
  <c r="L69" i="8"/>
  <c r="O69" i="8" s="1"/>
  <c r="I76" i="8"/>
  <c r="K81" i="8"/>
  <c r="L280" i="8"/>
  <c r="O280" i="8" s="1"/>
  <c r="O282" i="8"/>
  <c r="L23" i="8"/>
  <c r="M34" i="8"/>
  <c r="P34" i="8" s="1"/>
  <c r="P35" i="8"/>
  <c r="M90" i="8"/>
  <c r="L283" i="8"/>
  <c r="O283" i="8" s="1"/>
  <c r="O285" i="8"/>
  <c r="K438" i="8"/>
  <c r="I434" i="8"/>
  <c r="L229" i="7"/>
  <c r="O32" i="8"/>
  <c r="L43" i="8"/>
  <c r="L68" i="8"/>
  <c r="O89" i="8"/>
  <c r="O351" i="7"/>
  <c r="M15" i="8"/>
  <c r="N23" i="8"/>
  <c r="N21" i="8" s="1"/>
  <c r="L26" i="8"/>
  <c r="L24" i="8" s="1"/>
  <c r="L47" i="8"/>
  <c r="O47" i="8" s="1"/>
  <c r="L72" i="8"/>
  <c r="O72" i="8" s="1"/>
  <c r="N134" i="8"/>
  <c r="N132" i="8" s="1"/>
  <c r="L135" i="8"/>
  <c r="O135" i="8" s="1"/>
  <c r="O137" i="8"/>
  <c r="J143" i="8"/>
  <c r="J131" i="8" s="1"/>
  <c r="K144" i="8"/>
  <c r="K237" i="8"/>
  <c r="I297" i="8"/>
  <c r="K297" i="8" s="1"/>
  <c r="P755" i="8"/>
  <c r="M754" i="8"/>
  <c r="P754" i="8" s="1"/>
  <c r="M122" i="8"/>
  <c r="P122" i="8" s="1"/>
  <c r="M125" i="8"/>
  <c r="P125" i="8" s="1"/>
  <c r="O140" i="8"/>
  <c r="M152" i="8"/>
  <c r="P152" i="8" s="1"/>
  <c r="M155" i="8"/>
  <c r="P155" i="8" s="1"/>
  <c r="O166" i="8"/>
  <c r="P170" i="8"/>
  <c r="P173" i="8"/>
  <c r="O182" i="8"/>
  <c r="P186" i="8"/>
  <c r="P189" i="8"/>
  <c r="M264" i="8"/>
  <c r="M267" i="8"/>
  <c r="P267" i="8" s="1"/>
  <c r="M301" i="8"/>
  <c r="P301" i="8" s="1"/>
  <c r="M304" i="8"/>
  <c r="P304" i="8" s="1"/>
  <c r="L317" i="8"/>
  <c r="O317" i="8" s="1"/>
  <c r="P346" i="8"/>
  <c r="O350" i="8"/>
  <c r="P353" i="8"/>
  <c r="O390" i="8"/>
  <c r="O630" i="8"/>
  <c r="P807" i="8"/>
  <c r="M805" i="8"/>
  <c r="P805" i="8" s="1"/>
  <c r="P329" i="8"/>
  <c r="P394" i="8"/>
  <c r="M392" i="8"/>
  <c r="P392" i="8" s="1"/>
  <c r="N467" i="8"/>
  <c r="N470" i="8"/>
  <c r="O470" i="8" s="1"/>
  <c r="P504" i="8"/>
  <c r="M502" i="8"/>
  <c r="P502" i="8" s="1"/>
  <c r="J537" i="8"/>
  <c r="J522" i="8" s="1"/>
  <c r="P686" i="8"/>
  <c r="P788" i="8"/>
  <c r="M786" i="8"/>
  <c r="P786" i="8" s="1"/>
  <c r="I143" i="8"/>
  <c r="L229" i="8"/>
  <c r="I233" i="8"/>
  <c r="K233" i="8" s="1"/>
  <c r="I248" i="8"/>
  <c r="K248" i="8" s="1"/>
  <c r="P468" i="8"/>
  <c r="P738" i="8"/>
  <c r="M737" i="8"/>
  <c r="P737" i="8" s="1"/>
  <c r="P771" i="8"/>
  <c r="M770" i="8"/>
  <c r="P770" i="8" s="1"/>
  <c r="I785" i="8"/>
  <c r="K785" i="8" s="1"/>
  <c r="K800" i="8"/>
  <c r="O806" i="8"/>
  <c r="L805" i="8"/>
  <c r="O805" i="8" s="1"/>
  <c r="O353" i="8"/>
  <c r="P397" i="8"/>
  <c r="M395" i="8"/>
  <c r="P395" i="8" s="1"/>
  <c r="I442" i="8"/>
  <c r="K442" i="8" s="1"/>
  <c r="K460" i="8"/>
  <c r="O503" i="8"/>
  <c r="L502" i="8"/>
  <c r="O502" i="8" s="1"/>
  <c r="I592" i="8"/>
  <c r="K592" i="8" s="1"/>
  <c r="K593" i="8"/>
  <c r="O787" i="8"/>
  <c r="L786" i="8"/>
  <c r="O786" i="8" s="1"/>
  <c r="I197" i="8"/>
  <c r="K197" i="8" s="1"/>
  <c r="O323" i="8"/>
  <c r="M347" i="8"/>
  <c r="P351" i="8"/>
  <c r="K370" i="8"/>
  <c r="K372" i="8"/>
  <c r="O420" i="8"/>
  <c r="J433" i="8"/>
  <c r="K437" i="8"/>
  <c r="P631" i="8"/>
  <c r="M629" i="8"/>
  <c r="P629" i="8" s="1"/>
  <c r="N789" i="8"/>
  <c r="N805" i="8"/>
  <c r="O333" i="8"/>
  <c r="O336" i="8"/>
  <c r="P407" i="8"/>
  <c r="P410" i="8"/>
  <c r="I443" i="8"/>
  <c r="K443" i="8" s="1"/>
  <c r="L447" i="8"/>
  <c r="O447" i="8" s="1"/>
  <c r="L454" i="8"/>
  <c r="O454" i="8" s="1"/>
  <c r="O472" i="8"/>
  <c r="L533" i="8"/>
  <c r="O533" i="8" s="1"/>
  <c r="O634" i="8"/>
  <c r="K675" i="8"/>
  <c r="O791" i="8"/>
  <c r="M449" i="8"/>
  <c r="L525" i="8"/>
  <c r="K576" i="8"/>
  <c r="K672" i="8"/>
  <c r="L688" i="8"/>
  <c r="O688" i="8" s="1"/>
  <c r="M690" i="8"/>
  <c r="M655" i="8"/>
  <c r="P655" i="8" s="1"/>
  <c r="K669" i="8"/>
  <c r="K673" i="8"/>
  <c r="L687" i="8"/>
  <c r="N301" i="6"/>
  <c r="J327" i="6"/>
  <c r="K327" i="6" s="1"/>
  <c r="L43" i="7"/>
  <c r="L41" i="7" s="1"/>
  <c r="M94" i="7"/>
  <c r="P94" i="7" s="1"/>
  <c r="O96" i="7"/>
  <c r="N135" i="7"/>
  <c r="L152" i="7"/>
  <c r="O152" i="7" s="1"/>
  <c r="L264" i="7"/>
  <c r="K381" i="7"/>
  <c r="L429" i="7"/>
  <c r="O429" i="7" s="1"/>
  <c r="O431" i="7"/>
  <c r="L469" i="7"/>
  <c r="L467" i="7" s="1"/>
  <c r="O479" i="7"/>
  <c r="K700" i="7"/>
  <c r="L789" i="7"/>
  <c r="O789" i="7" s="1"/>
  <c r="L477" i="5"/>
  <c r="O477" i="5" s="1"/>
  <c r="L47" i="6"/>
  <c r="O47" i="6" s="1"/>
  <c r="L33" i="7"/>
  <c r="L31" i="7" s="1"/>
  <c r="O31" i="7" s="1"/>
  <c r="L55" i="7"/>
  <c r="L53" i="7" s="1"/>
  <c r="M55" i="7"/>
  <c r="M53" i="7" s="1"/>
  <c r="L68" i="7"/>
  <c r="L66" i="7" s="1"/>
  <c r="O66" i="7" s="1"/>
  <c r="L267" i="7"/>
  <c r="O267" i="7" s="1"/>
  <c r="P323" i="7"/>
  <c r="L391" i="7"/>
  <c r="L395" i="7"/>
  <c r="O395" i="7" s="1"/>
  <c r="N151" i="6"/>
  <c r="N149" i="6" s="1"/>
  <c r="K145" i="7"/>
  <c r="M168" i="7"/>
  <c r="P168" i="7" s="1"/>
  <c r="L228" i="7"/>
  <c r="O333" i="7"/>
  <c r="K362" i="7"/>
  <c r="M405" i="7"/>
  <c r="P405" i="7" s="1"/>
  <c r="L688" i="7"/>
  <c r="O688" i="7" s="1"/>
  <c r="M155" i="6"/>
  <c r="P155" i="6" s="1"/>
  <c r="M183" i="6"/>
  <c r="M181" i="6" s="1"/>
  <c r="K372" i="6"/>
  <c r="K537" i="6"/>
  <c r="N121" i="7"/>
  <c r="N119" i="7" s="1"/>
  <c r="L125" i="7"/>
  <c r="O125" i="7" s="1"/>
  <c r="L134" i="7"/>
  <c r="O134" i="7" s="1"/>
  <c r="L546" i="7"/>
  <c r="O546" i="7" s="1"/>
  <c r="L43" i="6"/>
  <c r="L41" i="6" s="1"/>
  <c r="K699" i="6"/>
  <c r="P91" i="7"/>
  <c r="M125" i="7"/>
  <c r="P125" i="7" s="1"/>
  <c r="N167" i="7"/>
  <c r="N165" i="7" s="1"/>
  <c r="I276" i="7"/>
  <c r="K276" i="7" s="1"/>
  <c r="J364" i="7"/>
  <c r="O634" i="7"/>
  <c r="K143" i="7"/>
  <c r="I131" i="7"/>
  <c r="K131" i="7" s="1"/>
  <c r="L168" i="7"/>
  <c r="O168" i="7" s="1"/>
  <c r="L167" i="7"/>
  <c r="O170" i="7"/>
  <c r="P186" i="7"/>
  <c r="M184" i="7"/>
  <c r="P184" i="7" s="1"/>
  <c r="N68" i="6"/>
  <c r="N66" i="6" s="1"/>
  <c r="P74" i="6"/>
  <c r="L125" i="6"/>
  <c r="O125" i="6" s="1"/>
  <c r="N263" i="6"/>
  <c r="N261" i="6" s="1"/>
  <c r="I443" i="6"/>
  <c r="K443" i="6" s="1"/>
  <c r="L47" i="7"/>
  <c r="O47" i="7" s="1"/>
  <c r="O49" i="7"/>
  <c r="K98" i="7"/>
  <c r="L122" i="7"/>
  <c r="O122" i="7" s="1"/>
  <c r="L138" i="7"/>
  <c r="O138" i="7" s="1"/>
  <c r="O140" i="7"/>
  <c r="M304" i="7"/>
  <c r="P304" i="7" s="1"/>
  <c r="M317" i="7"/>
  <c r="M318" i="7"/>
  <c r="P318" i="7" s="1"/>
  <c r="K593" i="7"/>
  <c r="I592" i="7"/>
  <c r="K592" i="7" s="1"/>
  <c r="I276" i="5"/>
  <c r="K276" i="5" s="1"/>
  <c r="M122" i="7"/>
  <c r="P122" i="7" s="1"/>
  <c r="P124" i="7"/>
  <c r="O303" i="7"/>
  <c r="L301" i="7"/>
  <c r="O301" i="7" s="1"/>
  <c r="N347" i="7"/>
  <c r="N345" i="7" s="1"/>
  <c r="P350" i="7"/>
  <c r="K823" i="5"/>
  <c r="N43" i="6"/>
  <c r="N41" i="6" s="1"/>
  <c r="M167" i="6"/>
  <c r="L228" i="6"/>
  <c r="L347" i="6"/>
  <c r="L345" i="6" s="1"/>
  <c r="I364" i="6"/>
  <c r="P56" i="7"/>
  <c r="L121" i="7"/>
  <c r="O121" i="7" s="1"/>
  <c r="O157" i="7"/>
  <c r="L155" i="7"/>
  <c r="O155" i="7" s="1"/>
  <c r="I260" i="7"/>
  <c r="K260" i="7" s="1"/>
  <c r="K271" i="7"/>
  <c r="M300" i="7"/>
  <c r="P300" i="7" s="1"/>
  <c r="N348" i="7"/>
  <c r="P348" i="7" s="1"/>
  <c r="K669" i="7"/>
  <c r="O353" i="4"/>
  <c r="M321" i="6"/>
  <c r="P321" i="6" s="1"/>
  <c r="M23" i="7"/>
  <c r="M21" i="7" s="1"/>
  <c r="N43" i="7"/>
  <c r="J143" i="7"/>
  <c r="J131" i="7" s="1"/>
  <c r="P154" i="7"/>
  <c r="M151" i="7"/>
  <c r="P151" i="7" s="1"/>
  <c r="K674" i="7"/>
  <c r="K673" i="7"/>
  <c r="K146" i="6"/>
  <c r="N155" i="6"/>
  <c r="N167" i="6"/>
  <c r="N165" i="6" s="1"/>
  <c r="I190" i="6"/>
  <c r="K190" i="6" s="1"/>
  <c r="L229" i="6"/>
  <c r="L469" i="6"/>
  <c r="L467" i="6" s="1"/>
  <c r="K728" i="7"/>
  <c r="I248" i="7"/>
  <c r="K248" i="7" s="1"/>
  <c r="M279" i="7"/>
  <c r="K359" i="7"/>
  <c r="L392" i="7"/>
  <c r="O392" i="7" s="1"/>
  <c r="N391" i="7"/>
  <c r="N389" i="7" s="1"/>
  <c r="O407" i="7"/>
  <c r="I442" i="7"/>
  <c r="K442" i="7" s="1"/>
  <c r="J722" i="7"/>
  <c r="K722" i="7" s="1"/>
  <c r="L788" i="7"/>
  <c r="O788" i="7" s="1"/>
  <c r="M155" i="7"/>
  <c r="P155" i="7" s="1"/>
  <c r="M280" i="7"/>
  <c r="P280" i="7" s="1"/>
  <c r="M301" i="7"/>
  <c r="P301" i="7" s="1"/>
  <c r="N318" i="7"/>
  <c r="L330" i="7"/>
  <c r="K378" i="7"/>
  <c r="I434" i="7"/>
  <c r="K434" i="7" s="1"/>
  <c r="K726" i="7"/>
  <c r="K174" i="7"/>
  <c r="M187" i="7"/>
  <c r="P187" i="7" s="1"/>
  <c r="N263" i="7"/>
  <c r="P282" i="7"/>
  <c r="N330" i="7"/>
  <c r="N328" i="7" s="1"/>
  <c r="J327" i="7"/>
  <c r="K327" i="7" s="1"/>
  <c r="L533" i="7"/>
  <c r="O533" i="7" s="1"/>
  <c r="K723" i="7"/>
  <c r="K821" i="7"/>
  <c r="K824" i="7"/>
  <c r="K827" i="7"/>
  <c r="O189" i="7"/>
  <c r="I364" i="7"/>
  <c r="L217" i="7"/>
  <c r="O217" i="7" s="1"/>
  <c r="L238" i="7"/>
  <c r="O238" i="7" s="1"/>
  <c r="K338" i="7"/>
  <c r="K374" i="7"/>
  <c r="M472" i="7"/>
  <c r="K822" i="7"/>
  <c r="K825" i="7"/>
  <c r="K828" i="7"/>
  <c r="P29" i="7"/>
  <c r="K87" i="7"/>
  <c r="L404" i="7"/>
  <c r="L408" i="7"/>
  <c r="O408" i="7" s="1"/>
  <c r="K647" i="5"/>
  <c r="L36" i="6"/>
  <c r="O36" i="6" s="1"/>
  <c r="I148" i="6"/>
  <c r="K148" i="6" s="1"/>
  <c r="O191" i="6"/>
  <c r="K224" i="6"/>
  <c r="I275" i="6"/>
  <c r="K275" i="6" s="1"/>
  <c r="J288" i="6"/>
  <c r="J275" i="6" s="1"/>
  <c r="L300" i="6"/>
  <c r="O300" i="6" s="1"/>
  <c r="K338" i="6"/>
  <c r="K355" i="6"/>
  <c r="K369" i="6"/>
  <c r="M405" i="6"/>
  <c r="P405" i="6" s="1"/>
  <c r="L408" i="6"/>
  <c r="O408" i="6" s="1"/>
  <c r="K568" i="6"/>
  <c r="J722" i="6"/>
  <c r="M12" i="7"/>
  <c r="M19" i="7"/>
  <c r="N23" i="7"/>
  <c r="L26" i="7"/>
  <c r="L23" i="7"/>
  <c r="O58" i="7"/>
  <c r="I76" i="7"/>
  <c r="K159" i="7"/>
  <c r="L300" i="7"/>
  <c r="L318" i="7"/>
  <c r="O318" i="7" s="1"/>
  <c r="O320" i="7"/>
  <c r="O323" i="7"/>
  <c r="P346" i="7"/>
  <c r="N392" i="7"/>
  <c r="P468" i="7"/>
  <c r="O524" i="7"/>
  <c r="L26" i="6"/>
  <c r="L24" i="6" s="1"/>
  <c r="P71" i="7"/>
  <c r="M69" i="7"/>
  <c r="P69" i="7" s="1"/>
  <c r="K204" i="7"/>
  <c r="I197" i="7"/>
  <c r="K197" i="7" s="1"/>
  <c r="M283" i="4"/>
  <c r="P283" i="4" s="1"/>
  <c r="K369" i="5"/>
  <c r="K372" i="5"/>
  <c r="K385" i="5"/>
  <c r="N12" i="7"/>
  <c r="N19" i="7"/>
  <c r="M26" i="7"/>
  <c r="P32" i="7"/>
  <c r="M34" i="7"/>
  <c r="P34" i="7" s="1"/>
  <c r="M68" i="7"/>
  <c r="P68" i="7" s="1"/>
  <c r="K99" i="7"/>
  <c r="M183" i="7"/>
  <c r="L198" i="7"/>
  <c r="O198" i="7" s="1"/>
  <c r="L209" i="7"/>
  <c r="O209" i="7" s="1"/>
  <c r="P336" i="7"/>
  <c r="M449" i="7"/>
  <c r="O449" i="7"/>
  <c r="L446" i="7"/>
  <c r="L447" i="7"/>
  <c r="P630" i="7"/>
  <c r="M629" i="7"/>
  <c r="P629" i="7" s="1"/>
  <c r="P46" i="7"/>
  <c r="M44" i="7"/>
  <c r="N152" i="7"/>
  <c r="N151" i="7"/>
  <c r="N149" i="7" s="1"/>
  <c r="L280" i="7"/>
  <c r="O280" i="7" s="1"/>
  <c r="O282" i="7"/>
  <c r="K365" i="6"/>
  <c r="K628" i="6"/>
  <c r="L9" i="7"/>
  <c r="N26" i="7"/>
  <c r="P54" i="7"/>
  <c r="P120" i="7"/>
  <c r="L171" i="7"/>
  <c r="O171" i="7" s="1"/>
  <c r="O173" i="7"/>
  <c r="N300" i="7"/>
  <c r="N298" i="7" s="1"/>
  <c r="M330" i="7"/>
  <c r="M328" i="7" s="1"/>
  <c r="O346" i="7"/>
  <c r="P353" i="7"/>
  <c r="M347" i="7"/>
  <c r="O410" i="7"/>
  <c r="N447" i="7"/>
  <c r="N446" i="7"/>
  <c r="N444" i="7" s="1"/>
  <c r="N504" i="7"/>
  <c r="N502" i="7" s="1"/>
  <c r="N505" i="7"/>
  <c r="N330" i="5"/>
  <c r="N328" i="5" s="1"/>
  <c r="M334" i="5"/>
  <c r="P334" i="5" s="1"/>
  <c r="M347" i="5"/>
  <c r="M345" i="5" s="1"/>
  <c r="K370" i="5"/>
  <c r="K378" i="5"/>
  <c r="M43" i="6"/>
  <c r="M41" i="6" s="1"/>
  <c r="L55" i="6"/>
  <c r="L53" i="6" s="1"/>
  <c r="N55" i="6"/>
  <c r="N53" i="6" s="1"/>
  <c r="P96" i="6"/>
  <c r="P266" i="6"/>
  <c r="K362" i="6"/>
  <c r="K381" i="6"/>
  <c r="J721" i="6"/>
  <c r="K823" i="6"/>
  <c r="K826" i="6"/>
  <c r="M15" i="7"/>
  <c r="P49" i="7"/>
  <c r="M47" i="7"/>
  <c r="P47" i="7" s="1"/>
  <c r="P58" i="7"/>
  <c r="P74" i="7"/>
  <c r="M72" i="7"/>
  <c r="P72" i="7" s="1"/>
  <c r="J86" i="7"/>
  <c r="K86" i="7" s="1"/>
  <c r="O93" i="7"/>
  <c r="I112" i="7"/>
  <c r="K112" i="7" s="1"/>
  <c r="P140" i="7"/>
  <c r="M138" i="7"/>
  <c r="P138" i="7" s="1"/>
  <c r="K144" i="7"/>
  <c r="N264" i="7"/>
  <c r="P264" i="7" s="1"/>
  <c r="P266" i="7"/>
  <c r="P320" i="7"/>
  <c r="M331" i="7"/>
  <c r="P331" i="7" s="1"/>
  <c r="P333" i="7"/>
  <c r="L526" i="7"/>
  <c r="O526" i="7" s="1"/>
  <c r="L525" i="7"/>
  <c r="O525" i="7" s="1"/>
  <c r="O528" i="7"/>
  <c r="M151" i="6"/>
  <c r="P151" i="6" s="1"/>
  <c r="N55" i="7"/>
  <c r="P137" i="7"/>
  <c r="M135" i="7"/>
  <c r="P135" i="7" s="1"/>
  <c r="P807" i="7"/>
  <c r="M805" i="7"/>
  <c r="P805" i="7" s="1"/>
  <c r="P140" i="5"/>
  <c r="M55" i="6"/>
  <c r="K379" i="6"/>
  <c r="L446" i="6"/>
  <c r="O446" i="6" s="1"/>
  <c r="N90" i="7"/>
  <c r="P93" i="7"/>
  <c r="O166" i="7"/>
  <c r="L184" i="7"/>
  <c r="O184" i="7" s="1"/>
  <c r="L183" i="7"/>
  <c r="L263" i="7"/>
  <c r="L279" i="7"/>
  <c r="O279" i="7" s="1"/>
  <c r="O316" i="7"/>
  <c r="O331" i="7"/>
  <c r="M351" i="7"/>
  <c r="P351" i="7" s="1"/>
  <c r="N405" i="7"/>
  <c r="N404" i="7"/>
  <c r="N402" i="7" s="1"/>
  <c r="J288" i="7"/>
  <c r="J275" i="7" s="1"/>
  <c r="I275" i="7"/>
  <c r="K275" i="7" s="1"/>
  <c r="J433" i="7"/>
  <c r="J417" i="7" s="1"/>
  <c r="K435" i="7"/>
  <c r="I433" i="7"/>
  <c r="P738" i="7"/>
  <c r="M737" i="7"/>
  <c r="P737" i="7" s="1"/>
  <c r="P771" i="7"/>
  <c r="M770" i="7"/>
  <c r="P770" i="7" s="1"/>
  <c r="P788" i="7"/>
  <c r="M786" i="7"/>
  <c r="P786" i="7" s="1"/>
  <c r="K369" i="7"/>
  <c r="K379" i="7"/>
  <c r="P394" i="7"/>
  <c r="M391" i="7"/>
  <c r="P391" i="7" s="1"/>
  <c r="N470" i="7"/>
  <c r="O470" i="7" s="1"/>
  <c r="O472" i="7"/>
  <c r="N469" i="7"/>
  <c r="I522" i="7"/>
  <c r="K522" i="7" s="1"/>
  <c r="K537" i="7"/>
  <c r="J537" i="7"/>
  <c r="J522" i="7" s="1"/>
  <c r="K462" i="7"/>
  <c r="I443" i="7"/>
  <c r="K443" i="7" s="1"/>
  <c r="O350" i="7"/>
  <c r="L347" i="7"/>
  <c r="K355" i="7"/>
  <c r="P420" i="7"/>
  <c r="O424" i="7"/>
  <c r="L421" i="7"/>
  <c r="O421" i="7" s="1"/>
  <c r="L502" i="7"/>
  <c r="O502" i="7" s="1"/>
  <c r="O787" i="7"/>
  <c r="I785" i="7"/>
  <c r="K785" i="7" s="1"/>
  <c r="K800" i="7"/>
  <c r="O806" i="7"/>
  <c r="L805" i="7"/>
  <c r="O805" i="7" s="1"/>
  <c r="L555" i="7"/>
  <c r="O555" i="7" s="1"/>
  <c r="O557" i="7"/>
  <c r="P686" i="7"/>
  <c r="L658" i="7"/>
  <c r="O658" i="7" s="1"/>
  <c r="O660" i="7"/>
  <c r="M660" i="7"/>
  <c r="P755" i="7"/>
  <c r="M754" i="7"/>
  <c r="P754" i="7" s="1"/>
  <c r="O353" i="7"/>
  <c r="K360" i="7"/>
  <c r="M502" i="7"/>
  <c r="P502" i="7" s="1"/>
  <c r="M545" i="7"/>
  <c r="L547" i="7"/>
  <c r="O547" i="7" s="1"/>
  <c r="M549" i="7"/>
  <c r="I559" i="7"/>
  <c r="L657" i="7"/>
  <c r="N789" i="7"/>
  <c r="I628" i="7"/>
  <c r="K628" i="7" s="1"/>
  <c r="K651" i="7"/>
  <c r="K675" i="7"/>
  <c r="K672" i="7"/>
  <c r="I654" i="7"/>
  <c r="K654" i="7" s="1"/>
  <c r="L391" i="3"/>
  <c r="O391" i="3" s="1"/>
  <c r="J721" i="4"/>
  <c r="N134" i="5"/>
  <c r="N132" i="5" s="1"/>
  <c r="L198" i="5"/>
  <c r="O198" i="5" s="1"/>
  <c r="N263" i="5"/>
  <c r="N261" i="5" s="1"/>
  <c r="L23" i="6"/>
  <c r="L21" i="6" s="1"/>
  <c r="O46" i="6"/>
  <c r="N56" i="6"/>
  <c r="O56" i="6" s="1"/>
  <c r="N183" i="6"/>
  <c r="N181" i="6" s="1"/>
  <c r="M264" i="6"/>
  <c r="P264" i="6" s="1"/>
  <c r="L279" i="6"/>
  <c r="O279" i="6" s="1"/>
  <c r="K309" i="6"/>
  <c r="K651" i="6"/>
  <c r="L788" i="6"/>
  <c r="O788" i="6" s="1"/>
  <c r="M122" i="5"/>
  <c r="P122" i="5" s="1"/>
  <c r="M279" i="5"/>
  <c r="P279" i="5" s="1"/>
  <c r="P44" i="6"/>
  <c r="M68" i="6"/>
  <c r="L135" i="6"/>
  <c r="O135" i="6" s="1"/>
  <c r="O140" i="6"/>
  <c r="O170" i="6"/>
  <c r="L321" i="6"/>
  <c r="O321" i="6" s="1"/>
  <c r="O331" i="6"/>
  <c r="K340" i="6"/>
  <c r="J374" i="6"/>
  <c r="K374" i="6" s="1"/>
  <c r="O791" i="6"/>
  <c r="O135" i="5"/>
  <c r="P170" i="6"/>
  <c r="L280" i="6"/>
  <c r="O280" i="6" s="1"/>
  <c r="P331" i="6"/>
  <c r="K359" i="6"/>
  <c r="L391" i="6"/>
  <c r="L389" i="6" s="1"/>
  <c r="O389" i="6" s="1"/>
  <c r="N404" i="6"/>
  <c r="N402" i="6" s="1"/>
  <c r="K560" i="6"/>
  <c r="L657" i="6"/>
  <c r="L655" i="6" s="1"/>
  <c r="O655" i="6" s="1"/>
  <c r="O61" i="5"/>
  <c r="K159" i="5"/>
  <c r="L187" i="5"/>
  <c r="O187" i="5" s="1"/>
  <c r="L231" i="6"/>
  <c r="M347" i="6"/>
  <c r="M345" i="6" s="1"/>
  <c r="I434" i="6"/>
  <c r="K434" i="6" s="1"/>
  <c r="O449" i="6"/>
  <c r="O59" i="5"/>
  <c r="N55" i="5"/>
  <c r="N53" i="5" s="1"/>
  <c r="P61" i="5"/>
  <c r="L72" i="6"/>
  <c r="O72" i="6" s="1"/>
  <c r="P184" i="6"/>
  <c r="L198" i="6"/>
  <c r="O198" i="6" s="1"/>
  <c r="P306" i="6"/>
  <c r="N330" i="6"/>
  <c r="N328" i="6" s="1"/>
  <c r="O333" i="6"/>
  <c r="O353" i="6"/>
  <c r="M391" i="6"/>
  <c r="P391" i="6" s="1"/>
  <c r="K700" i="6"/>
  <c r="K822" i="6"/>
  <c r="K825" i="6"/>
  <c r="K828" i="6"/>
  <c r="M422" i="6"/>
  <c r="M421" i="6"/>
  <c r="P634" i="6"/>
  <c r="M631" i="6"/>
  <c r="P631" i="6" s="1"/>
  <c r="M330" i="4"/>
  <c r="M328" i="4" s="1"/>
  <c r="P71" i="5"/>
  <c r="P135" i="5"/>
  <c r="L230" i="5"/>
  <c r="N26" i="6"/>
  <c r="N16" i="6" s="1"/>
  <c r="L217" i="6"/>
  <c r="O217" i="6" s="1"/>
  <c r="L72" i="5"/>
  <c r="O72" i="5" s="1"/>
  <c r="M187" i="5"/>
  <c r="P187" i="5" s="1"/>
  <c r="P303" i="5"/>
  <c r="O61" i="6"/>
  <c r="K144" i="6"/>
  <c r="M267" i="6"/>
  <c r="P267" i="6" s="1"/>
  <c r="L330" i="6"/>
  <c r="L328" i="6" s="1"/>
  <c r="P333" i="6"/>
  <c r="K360" i="6"/>
  <c r="O397" i="6"/>
  <c r="N408" i="6"/>
  <c r="L422" i="6"/>
  <c r="K543" i="6"/>
  <c r="K576" i="6"/>
  <c r="L263" i="5"/>
  <c r="L261" i="5" s="1"/>
  <c r="L44" i="6"/>
  <c r="O44" i="6" s="1"/>
  <c r="L69" i="6"/>
  <c r="O69" i="6" s="1"/>
  <c r="L121" i="6"/>
  <c r="O121" i="6" s="1"/>
  <c r="N135" i="6"/>
  <c r="O137" i="6"/>
  <c r="M152" i="6"/>
  <c r="P152" i="6" s="1"/>
  <c r="M168" i="6"/>
  <c r="P168" i="6" s="1"/>
  <c r="L187" i="6"/>
  <c r="O187" i="6" s="1"/>
  <c r="L283" i="6"/>
  <c r="O283" i="6" s="1"/>
  <c r="M318" i="6"/>
  <c r="P318" i="6" s="1"/>
  <c r="P320" i="6"/>
  <c r="M330" i="6"/>
  <c r="M334" i="6"/>
  <c r="P334" i="6" s="1"/>
  <c r="K378" i="6"/>
  <c r="L392" i="6"/>
  <c r="O392" i="6" s="1"/>
  <c r="L421" i="6"/>
  <c r="O421" i="6" s="1"/>
  <c r="I442" i="6"/>
  <c r="K442" i="6" s="1"/>
  <c r="L454" i="6"/>
  <c r="O454" i="6" s="1"/>
  <c r="K465" i="6"/>
  <c r="K559" i="6"/>
  <c r="L68" i="5"/>
  <c r="O68" i="5" s="1"/>
  <c r="L151" i="5"/>
  <c r="O151" i="5" s="1"/>
  <c r="P266" i="5"/>
  <c r="N301" i="5"/>
  <c r="O301" i="5" s="1"/>
  <c r="P46" i="6"/>
  <c r="M26" i="6"/>
  <c r="M16" i="6" s="1"/>
  <c r="P71" i="6"/>
  <c r="M121" i="6"/>
  <c r="P121" i="6" s="1"/>
  <c r="P137" i="6"/>
  <c r="K145" i="6"/>
  <c r="M171" i="6"/>
  <c r="P171" i="6" s="1"/>
  <c r="M187" i="6"/>
  <c r="P187" i="6" s="1"/>
  <c r="O285" i="6"/>
  <c r="N391" i="6"/>
  <c r="N389" i="6" s="1"/>
  <c r="L68" i="6"/>
  <c r="O68" i="6" s="1"/>
  <c r="O93" i="6"/>
  <c r="M263" i="6"/>
  <c r="K466" i="6"/>
  <c r="K649" i="6"/>
  <c r="O479" i="4"/>
  <c r="L267" i="5"/>
  <c r="O267" i="5" s="1"/>
  <c r="J722" i="5"/>
  <c r="P93" i="6"/>
  <c r="N351" i="6"/>
  <c r="O351" i="6" s="1"/>
  <c r="K569" i="6"/>
  <c r="K824" i="6"/>
  <c r="K224" i="5"/>
  <c r="M283" i="5"/>
  <c r="P283" i="5" s="1"/>
  <c r="L304" i="5"/>
  <c r="O304" i="5" s="1"/>
  <c r="L317" i="5"/>
  <c r="K340" i="5"/>
  <c r="N29" i="6"/>
  <c r="M334" i="4"/>
  <c r="P334" i="4" s="1"/>
  <c r="P58" i="5"/>
  <c r="O168" i="5"/>
  <c r="L321" i="5"/>
  <c r="O321" i="5" s="1"/>
  <c r="L330" i="5"/>
  <c r="M392" i="5"/>
  <c r="P392" i="5" s="1"/>
  <c r="P394" i="5"/>
  <c r="N12" i="6"/>
  <c r="I76" i="5"/>
  <c r="K76" i="5" s="1"/>
  <c r="M168" i="5"/>
  <c r="P168" i="5" s="1"/>
  <c r="L279" i="5"/>
  <c r="O279" i="5" s="1"/>
  <c r="L300" i="5"/>
  <c r="K359" i="5"/>
  <c r="K362" i="5"/>
  <c r="K379" i="5"/>
  <c r="N15" i="6"/>
  <c r="N151" i="4"/>
  <c r="N149" i="4" s="1"/>
  <c r="M59" i="5"/>
  <c r="P59" i="5" s="1"/>
  <c r="O191" i="5"/>
  <c r="L280" i="5"/>
  <c r="O280" i="5" s="1"/>
  <c r="I443" i="5"/>
  <c r="K443" i="5" s="1"/>
  <c r="M155" i="5"/>
  <c r="P155" i="5" s="1"/>
  <c r="L229" i="5"/>
  <c r="L264" i="5"/>
  <c r="O264" i="5" s="1"/>
  <c r="M280" i="5"/>
  <c r="P280" i="5" s="1"/>
  <c r="J721" i="5"/>
  <c r="K143" i="6"/>
  <c r="I131" i="6"/>
  <c r="K131" i="6" s="1"/>
  <c r="K244" i="6"/>
  <c r="I237" i="6"/>
  <c r="P262" i="6"/>
  <c r="O266" i="6"/>
  <c r="L264" i="6"/>
  <c r="O264" i="6" s="1"/>
  <c r="P285" i="6"/>
  <c r="M283" i="6"/>
  <c r="P283" i="6" s="1"/>
  <c r="L547" i="6"/>
  <c r="M549" i="6"/>
  <c r="N788" i="6"/>
  <c r="N786" i="6" s="1"/>
  <c r="N789" i="6"/>
  <c r="I785" i="6"/>
  <c r="K785" i="6" s="1"/>
  <c r="K800" i="6"/>
  <c r="O19" i="6"/>
  <c r="M23" i="6"/>
  <c r="I76" i="6"/>
  <c r="M91" i="6"/>
  <c r="P91" i="6" s="1"/>
  <c r="N121" i="6"/>
  <c r="N119" i="6" s="1"/>
  <c r="P150" i="6"/>
  <c r="O154" i="6"/>
  <c r="L152" i="6"/>
  <c r="O152" i="6" s="1"/>
  <c r="L168" i="6"/>
  <c r="O168" i="6" s="1"/>
  <c r="I174" i="6"/>
  <c r="O186" i="6"/>
  <c r="K215" i="6"/>
  <c r="M300" i="6"/>
  <c r="P300" i="6" s="1"/>
  <c r="K325" i="6"/>
  <c r="N23" i="6"/>
  <c r="M47" i="6"/>
  <c r="P47" i="6" s="1"/>
  <c r="O58" i="6"/>
  <c r="K98" i="6"/>
  <c r="I112" i="6"/>
  <c r="K112" i="6" s="1"/>
  <c r="O124" i="6"/>
  <c r="P166" i="6"/>
  <c r="L184" i="6"/>
  <c r="O184" i="6" s="1"/>
  <c r="K204" i="6"/>
  <c r="I197" i="6"/>
  <c r="K197" i="6" s="1"/>
  <c r="L209" i="6"/>
  <c r="O209" i="6" s="1"/>
  <c r="P278" i="6"/>
  <c r="N280" i="6"/>
  <c r="P282" i="6"/>
  <c r="M280" i="6"/>
  <c r="P280" i="6" s="1"/>
  <c r="L317" i="6"/>
  <c r="O336" i="6"/>
  <c r="P394" i="6"/>
  <c r="O468" i="6"/>
  <c r="P656" i="6"/>
  <c r="O787" i="6"/>
  <c r="L33" i="6"/>
  <c r="P58" i="6"/>
  <c r="P61" i="6"/>
  <c r="P124" i="6"/>
  <c r="P140" i="6"/>
  <c r="L167" i="6"/>
  <c r="P182" i="6"/>
  <c r="L263" i="6"/>
  <c r="O269" i="6"/>
  <c r="L267" i="6"/>
  <c r="O267" i="6" s="1"/>
  <c r="P299" i="6"/>
  <c r="L405" i="6"/>
  <c r="O405" i="6" s="1"/>
  <c r="O407" i="6"/>
  <c r="L404" i="6"/>
  <c r="O404" i="6" s="1"/>
  <c r="L546" i="6"/>
  <c r="I77" i="6"/>
  <c r="M134" i="6"/>
  <c r="L151" i="6"/>
  <c r="O151" i="6" s="1"/>
  <c r="O157" i="6"/>
  <c r="L155" i="6"/>
  <c r="O155" i="6" s="1"/>
  <c r="L171" i="6"/>
  <c r="O171" i="6" s="1"/>
  <c r="L183" i="6"/>
  <c r="P186" i="6"/>
  <c r="L238" i="6"/>
  <c r="L249" i="6"/>
  <c r="O249" i="6" s="1"/>
  <c r="M279" i="6"/>
  <c r="P279" i="6" s="1"/>
  <c r="N317" i="6"/>
  <c r="N315" i="6" s="1"/>
  <c r="N348" i="6"/>
  <c r="P350" i="6"/>
  <c r="O350" i="6"/>
  <c r="N347" i="6"/>
  <c r="M19" i="6"/>
  <c r="I233" i="6"/>
  <c r="K233" i="6" s="1"/>
  <c r="I276" i="6"/>
  <c r="K276" i="6" s="1"/>
  <c r="P303" i="6"/>
  <c r="M351" i="6"/>
  <c r="P353" i="6"/>
  <c r="P410" i="6"/>
  <c r="M408" i="6"/>
  <c r="P408" i="6" s="1"/>
  <c r="M404" i="6"/>
  <c r="P404" i="6" s="1"/>
  <c r="N469" i="6"/>
  <c r="N470" i="6"/>
  <c r="O535" i="6"/>
  <c r="L525" i="6"/>
  <c r="O525" i="6" s="1"/>
  <c r="L533" i="6"/>
  <c r="O533" i="6" s="1"/>
  <c r="L301" i="6"/>
  <c r="O301" i="6" s="1"/>
  <c r="L304" i="6"/>
  <c r="O304" i="6" s="1"/>
  <c r="K647" i="6"/>
  <c r="N655" i="6"/>
  <c r="P787" i="6"/>
  <c r="M786" i="6"/>
  <c r="P786" i="6" s="1"/>
  <c r="N422" i="6"/>
  <c r="O424" i="6"/>
  <c r="K435" i="6"/>
  <c r="J433" i="6"/>
  <c r="J417" i="6" s="1"/>
  <c r="K417" i="6" s="1"/>
  <c r="N467" i="6"/>
  <c r="O545" i="6"/>
  <c r="N549" i="6"/>
  <c r="O549" i="6" s="1"/>
  <c r="L631" i="6"/>
  <c r="O631" i="6" s="1"/>
  <c r="L632" i="6"/>
  <c r="O632" i="6" s="1"/>
  <c r="O634" i="6"/>
  <c r="O690" i="6"/>
  <c r="L687" i="6"/>
  <c r="L685" i="6" s="1"/>
  <c r="O685" i="6" s="1"/>
  <c r="M690" i="6"/>
  <c r="L688" i="6"/>
  <c r="M770" i="6"/>
  <c r="P770" i="6" s="1"/>
  <c r="P806" i="6"/>
  <c r="M805" i="6"/>
  <c r="P805" i="6" s="1"/>
  <c r="K821" i="6"/>
  <c r="K827" i="6"/>
  <c r="P424" i="6"/>
  <c r="N446" i="6"/>
  <c r="N444" i="6" s="1"/>
  <c r="M657" i="6"/>
  <c r="P657" i="6" s="1"/>
  <c r="M658" i="6"/>
  <c r="P658" i="6" s="1"/>
  <c r="P660" i="6"/>
  <c r="K674" i="6"/>
  <c r="K673" i="6"/>
  <c r="K669" i="6"/>
  <c r="I654" i="6"/>
  <c r="K654" i="6" s="1"/>
  <c r="K672" i="6"/>
  <c r="N687" i="6"/>
  <c r="N685" i="6" s="1"/>
  <c r="N688" i="6"/>
  <c r="L470" i="6"/>
  <c r="O472" i="6"/>
  <c r="J537" i="6"/>
  <c r="J522" i="6" s="1"/>
  <c r="K538" i="6"/>
  <c r="I592" i="6"/>
  <c r="K592" i="6" s="1"/>
  <c r="K593" i="6"/>
  <c r="O630" i="6"/>
  <c r="M632" i="6"/>
  <c r="P397" i="6"/>
  <c r="K438" i="6"/>
  <c r="P445" i="6"/>
  <c r="M444" i="6"/>
  <c r="P444" i="6" s="1"/>
  <c r="M472" i="6"/>
  <c r="M502" i="6"/>
  <c r="P502" i="6" s="1"/>
  <c r="N632" i="6"/>
  <c r="L639" i="6"/>
  <c r="O639" i="6" s="1"/>
  <c r="O660" i="6"/>
  <c r="M737" i="6"/>
  <c r="P737" i="6" s="1"/>
  <c r="N770" i="6"/>
  <c r="L477" i="6"/>
  <c r="O477" i="6" s="1"/>
  <c r="L658" i="6"/>
  <c r="O658" i="6" s="1"/>
  <c r="L125" i="4"/>
  <c r="O125" i="4" s="1"/>
  <c r="M263" i="4"/>
  <c r="M261" i="4" s="1"/>
  <c r="I276" i="4"/>
  <c r="K276" i="4" s="1"/>
  <c r="I314" i="4"/>
  <c r="K314" i="4" s="1"/>
  <c r="J722" i="4"/>
  <c r="M264" i="5"/>
  <c r="P264" i="5" s="1"/>
  <c r="M300" i="5"/>
  <c r="M298" i="5" s="1"/>
  <c r="M304" i="5"/>
  <c r="P304" i="5" s="1"/>
  <c r="N43" i="2"/>
  <c r="N41" i="2" s="1"/>
  <c r="L280" i="4"/>
  <c r="O280" i="4" s="1"/>
  <c r="P410" i="5"/>
  <c r="M408" i="5"/>
  <c r="P408" i="5" s="1"/>
  <c r="L789" i="5"/>
  <c r="O789" i="5" s="1"/>
  <c r="L788" i="5"/>
  <c r="O788" i="5" s="1"/>
  <c r="N43" i="3"/>
  <c r="N41" i="3" s="1"/>
  <c r="N347" i="3"/>
  <c r="N345" i="3" s="1"/>
  <c r="L301" i="4"/>
  <c r="O301" i="4" s="1"/>
  <c r="L454" i="4"/>
  <c r="O454" i="4" s="1"/>
  <c r="P127" i="5"/>
  <c r="M125" i="5"/>
  <c r="P125" i="5" s="1"/>
  <c r="J721" i="3"/>
  <c r="N330" i="4"/>
  <c r="N328" i="4" s="1"/>
  <c r="K370" i="4"/>
  <c r="O49" i="5"/>
  <c r="L47" i="5"/>
  <c r="O47" i="5" s="1"/>
  <c r="K115" i="5"/>
  <c r="I112" i="5"/>
  <c r="K112" i="5" s="1"/>
  <c r="N351" i="5"/>
  <c r="P351" i="5" s="1"/>
  <c r="P353" i="5"/>
  <c r="K435" i="5"/>
  <c r="I433" i="5"/>
  <c r="I417" i="5" s="1"/>
  <c r="P44" i="5"/>
  <c r="K338" i="5"/>
  <c r="P348" i="5"/>
  <c r="N404" i="5"/>
  <c r="N402" i="5" s="1"/>
  <c r="M56" i="5"/>
  <c r="P93" i="5"/>
  <c r="L217" i="5"/>
  <c r="O217" i="5" s="1"/>
  <c r="I233" i="5"/>
  <c r="K233" i="5" s="1"/>
  <c r="O557" i="5"/>
  <c r="O641" i="5"/>
  <c r="N56" i="5"/>
  <c r="O56" i="5" s="1"/>
  <c r="K204" i="5"/>
  <c r="L249" i="5"/>
  <c r="O249" i="5" s="1"/>
  <c r="M263" i="5"/>
  <c r="M261" i="5" s="1"/>
  <c r="K360" i="5"/>
  <c r="L525" i="5"/>
  <c r="O525" i="5" s="1"/>
  <c r="L69" i="5"/>
  <c r="O69" i="5" s="1"/>
  <c r="O71" i="5"/>
  <c r="L209" i="5"/>
  <c r="O209" i="5" s="1"/>
  <c r="I434" i="5"/>
  <c r="I418" i="5" s="1"/>
  <c r="K418" i="5" s="1"/>
  <c r="K649" i="5"/>
  <c r="O140" i="5"/>
  <c r="O157" i="5"/>
  <c r="P170" i="5"/>
  <c r="K628" i="5"/>
  <c r="N151" i="3"/>
  <c r="N149" i="3" s="1"/>
  <c r="M183" i="4"/>
  <c r="M181" i="4" s="1"/>
  <c r="N334" i="4"/>
  <c r="N347" i="4"/>
  <c r="N345" i="4" s="1"/>
  <c r="J433" i="4"/>
  <c r="J417" i="4" s="1"/>
  <c r="K561" i="4"/>
  <c r="M23" i="5"/>
  <c r="M21" i="5" s="1"/>
  <c r="L43" i="5"/>
  <c r="O93" i="5"/>
  <c r="L171" i="5"/>
  <c r="O171" i="5" s="1"/>
  <c r="N184" i="5"/>
  <c r="P184" i="5" s="1"/>
  <c r="K244" i="5"/>
  <c r="L318" i="5"/>
  <c r="O318" i="5" s="1"/>
  <c r="N317" i="5"/>
  <c r="N315" i="5" s="1"/>
  <c r="N347" i="5"/>
  <c r="N345" i="5" s="1"/>
  <c r="O348" i="5"/>
  <c r="M395" i="5"/>
  <c r="P395" i="5" s="1"/>
  <c r="N408" i="5"/>
  <c r="L469" i="5"/>
  <c r="L467" i="5" s="1"/>
  <c r="J537" i="5"/>
  <c r="J522" i="5" s="1"/>
  <c r="I314" i="3"/>
  <c r="K314" i="3" s="1"/>
  <c r="L152" i="4"/>
  <c r="O152" i="4" s="1"/>
  <c r="L229" i="4"/>
  <c r="L304" i="4"/>
  <c r="O304" i="4" s="1"/>
  <c r="L788" i="4"/>
  <c r="O788" i="4" s="1"/>
  <c r="N43" i="5"/>
  <c r="N41" i="5" s="1"/>
  <c r="M68" i="5"/>
  <c r="P68" i="5" s="1"/>
  <c r="N90" i="5"/>
  <c r="N88" i="5" s="1"/>
  <c r="M121" i="5"/>
  <c r="M119" i="5" s="1"/>
  <c r="O125" i="5"/>
  <c r="O154" i="5"/>
  <c r="M171" i="5"/>
  <c r="P171" i="5" s="1"/>
  <c r="P269" i="5"/>
  <c r="P306" i="5"/>
  <c r="N318" i="5"/>
  <c r="O333" i="5"/>
  <c r="K355" i="5"/>
  <c r="K381" i="5"/>
  <c r="L447" i="5"/>
  <c r="O447" i="5" s="1"/>
  <c r="L657" i="5"/>
  <c r="O657" i="5" s="1"/>
  <c r="K674" i="5"/>
  <c r="N152" i="4"/>
  <c r="L155" i="4"/>
  <c r="O155" i="4" s="1"/>
  <c r="I364" i="4"/>
  <c r="L429" i="4"/>
  <c r="O429" i="4" s="1"/>
  <c r="I77" i="5"/>
  <c r="K216" i="5"/>
  <c r="O266" i="5"/>
  <c r="N279" i="5"/>
  <c r="N277" i="5" s="1"/>
  <c r="O303" i="5"/>
  <c r="I314" i="5"/>
  <c r="K314" i="5" s="1"/>
  <c r="O331" i="5"/>
  <c r="O336" i="5"/>
  <c r="J364" i="5"/>
  <c r="K821" i="5"/>
  <c r="K824" i="5"/>
  <c r="K827" i="5"/>
  <c r="K355" i="3"/>
  <c r="I433" i="4"/>
  <c r="I417" i="4" s="1"/>
  <c r="K417" i="4" s="1"/>
  <c r="O46" i="5"/>
  <c r="N91" i="5"/>
  <c r="P91" i="5" s="1"/>
  <c r="M138" i="5"/>
  <c r="K146" i="5"/>
  <c r="O186" i="5"/>
  <c r="I237" i="5"/>
  <c r="K237" i="5" s="1"/>
  <c r="K271" i="5"/>
  <c r="J288" i="5"/>
  <c r="J275" i="5" s="1"/>
  <c r="K309" i="5"/>
  <c r="O350" i="5"/>
  <c r="J433" i="5"/>
  <c r="L334" i="4"/>
  <c r="O334" i="4" s="1"/>
  <c r="N391" i="4"/>
  <c r="N389" i="4" s="1"/>
  <c r="P46" i="5"/>
  <c r="K80" i="5"/>
  <c r="N138" i="5"/>
  <c r="O138" i="5" s="1"/>
  <c r="L184" i="5"/>
  <c r="L231" i="5"/>
  <c r="L283" i="5"/>
  <c r="O283" i="5" s="1"/>
  <c r="J327" i="5"/>
  <c r="K327" i="5" s="1"/>
  <c r="P350" i="5"/>
  <c r="K651" i="5"/>
  <c r="K822" i="5"/>
  <c r="K828" i="5"/>
  <c r="O71" i="4"/>
  <c r="L69" i="4"/>
  <c r="O69" i="4" s="1"/>
  <c r="L264" i="4"/>
  <c r="L263" i="4"/>
  <c r="L261" i="4" s="1"/>
  <c r="N69" i="5"/>
  <c r="N68" i="5"/>
  <c r="N66" i="5" s="1"/>
  <c r="P269" i="3"/>
  <c r="M267" i="3"/>
  <c r="P267" i="3" s="1"/>
  <c r="L351" i="5"/>
  <c r="O353" i="5"/>
  <c r="L26" i="5"/>
  <c r="L405" i="5"/>
  <c r="O405" i="5" s="1"/>
  <c r="O407" i="5"/>
  <c r="L404" i="5"/>
  <c r="O404" i="5" s="1"/>
  <c r="O547" i="5"/>
  <c r="N29" i="5"/>
  <c r="N28" i="5" s="1"/>
  <c r="N15" i="5"/>
  <c r="N34" i="5"/>
  <c r="N26" i="5"/>
  <c r="N171" i="5"/>
  <c r="O29" i="5"/>
  <c r="O44" i="5"/>
  <c r="N167" i="5"/>
  <c r="N165" i="5" s="1"/>
  <c r="K98" i="3"/>
  <c r="I86" i="3"/>
  <c r="K86" i="3" s="1"/>
  <c r="P173" i="4"/>
  <c r="M171" i="4"/>
  <c r="P171" i="4" s="1"/>
  <c r="K674" i="4"/>
  <c r="I654" i="4"/>
  <c r="K654" i="4" s="1"/>
  <c r="K669" i="4"/>
  <c r="O15" i="5"/>
  <c r="O22" i="5"/>
  <c r="L19" i="5"/>
  <c r="L12" i="5"/>
  <c r="L122" i="5"/>
  <c r="O122" i="5" s="1"/>
  <c r="O124" i="5"/>
  <c r="L121" i="5"/>
  <c r="L23" i="5"/>
  <c r="L21" i="5" s="1"/>
  <c r="L134" i="5"/>
  <c r="O137" i="5"/>
  <c r="O67" i="5"/>
  <c r="M152" i="5"/>
  <c r="P152" i="5" s="1"/>
  <c r="M151" i="5"/>
  <c r="P151" i="5" s="1"/>
  <c r="P154" i="5"/>
  <c r="K260" i="5"/>
  <c r="K297" i="5"/>
  <c r="P333" i="5"/>
  <c r="M331" i="5"/>
  <c r="P331" i="5" s="1"/>
  <c r="P545" i="5"/>
  <c r="M634" i="5"/>
  <c r="L632" i="5"/>
  <c r="M408" i="3"/>
  <c r="P408" i="3" s="1"/>
  <c r="L167" i="4"/>
  <c r="L165" i="4" s="1"/>
  <c r="L171" i="4"/>
  <c r="O171" i="4" s="1"/>
  <c r="L230" i="4"/>
  <c r="L330" i="4"/>
  <c r="L405" i="4"/>
  <c r="O405" i="4" s="1"/>
  <c r="L36" i="4"/>
  <c r="O36" i="4" s="1"/>
  <c r="P12" i="5"/>
  <c r="M15" i="5"/>
  <c r="P19" i="5"/>
  <c r="N23" i="5"/>
  <c r="P25" i="5"/>
  <c r="M29" i="5"/>
  <c r="L33" i="5"/>
  <c r="O58" i="5"/>
  <c r="P74" i="5"/>
  <c r="P137" i="5"/>
  <c r="M134" i="5"/>
  <c r="N151" i="5"/>
  <c r="N149" i="5" s="1"/>
  <c r="O170" i="5"/>
  <c r="L167" i="5"/>
  <c r="L347" i="5"/>
  <c r="L395" i="5"/>
  <c r="O395" i="5" s="1"/>
  <c r="O397" i="5"/>
  <c r="L391" i="5"/>
  <c r="M424" i="5"/>
  <c r="L422" i="5"/>
  <c r="O422" i="5" s="1"/>
  <c r="O424" i="5"/>
  <c r="N444" i="5"/>
  <c r="P468" i="5"/>
  <c r="O634" i="5"/>
  <c r="L121" i="4"/>
  <c r="L231" i="4"/>
  <c r="N263" i="4"/>
  <c r="I297" i="4"/>
  <c r="K297" i="4" s="1"/>
  <c r="N121" i="5"/>
  <c r="N122" i="5"/>
  <c r="P150" i="5"/>
  <c r="P166" i="5"/>
  <c r="I364" i="5"/>
  <c r="K365" i="5"/>
  <c r="N392" i="5"/>
  <c r="N391" i="5"/>
  <c r="N389" i="5" s="1"/>
  <c r="L429" i="5"/>
  <c r="O429" i="5" s="1"/>
  <c r="O431" i="5"/>
  <c r="K460" i="5"/>
  <c r="I442" i="5"/>
  <c r="K442" i="5" s="1"/>
  <c r="L631" i="5"/>
  <c r="O686" i="5"/>
  <c r="M59" i="4"/>
  <c r="P59" i="4" s="1"/>
  <c r="M125" i="4"/>
  <c r="P125" i="4" s="1"/>
  <c r="N267" i="4"/>
  <c r="L300" i="4"/>
  <c r="N317" i="4"/>
  <c r="N315" i="4" s="1"/>
  <c r="M331" i="4"/>
  <c r="P331" i="4" s="1"/>
  <c r="O350" i="4"/>
  <c r="K362" i="4"/>
  <c r="K385" i="4"/>
  <c r="L33" i="4"/>
  <c r="L658" i="4"/>
  <c r="O658" i="4" s="1"/>
  <c r="K822" i="4"/>
  <c r="K828" i="4"/>
  <c r="M26" i="5"/>
  <c r="L36" i="5"/>
  <c r="O36" i="5" s="1"/>
  <c r="L55" i="5"/>
  <c r="K79" i="5"/>
  <c r="M94" i="5"/>
  <c r="P94" i="5" s="1"/>
  <c r="P186" i="5"/>
  <c r="M183" i="5"/>
  <c r="M318" i="5"/>
  <c r="P318" i="5" s="1"/>
  <c r="M317" i="5"/>
  <c r="P329" i="5"/>
  <c r="L421" i="5"/>
  <c r="N470" i="5"/>
  <c r="O470" i="5" s="1"/>
  <c r="N469" i="5"/>
  <c r="N467" i="5" s="1"/>
  <c r="I543" i="5"/>
  <c r="K543" i="5" s="1"/>
  <c r="P323" i="3"/>
  <c r="M334" i="3"/>
  <c r="P334" i="3" s="1"/>
  <c r="M187" i="4"/>
  <c r="P187" i="4" s="1"/>
  <c r="P350" i="4"/>
  <c r="I443" i="4"/>
  <c r="K443" i="4" s="1"/>
  <c r="O791" i="4"/>
  <c r="M43" i="5"/>
  <c r="M55" i="5"/>
  <c r="L91" i="5"/>
  <c r="L90" i="5"/>
  <c r="L238" i="5"/>
  <c r="L228" i="5"/>
  <c r="P58" i="3"/>
  <c r="L68" i="4"/>
  <c r="L66" i="4" s="1"/>
  <c r="O66" i="4" s="1"/>
  <c r="K378" i="4"/>
  <c r="K381" i="4"/>
  <c r="P49" i="5"/>
  <c r="M90" i="5"/>
  <c r="O127" i="5"/>
  <c r="J143" i="5"/>
  <c r="J131" i="5" s="1"/>
  <c r="K145" i="5"/>
  <c r="I143" i="5"/>
  <c r="K374" i="5"/>
  <c r="L454" i="5"/>
  <c r="O454" i="5" s="1"/>
  <c r="O456" i="5"/>
  <c r="K255" i="5"/>
  <c r="I248" i="5"/>
  <c r="K248" i="5" s="1"/>
  <c r="O472" i="5"/>
  <c r="I785" i="5"/>
  <c r="K785" i="5" s="1"/>
  <c r="K800" i="5"/>
  <c r="L183" i="5"/>
  <c r="I275" i="5"/>
  <c r="K275" i="5" s="1"/>
  <c r="P407" i="5"/>
  <c r="M404" i="5"/>
  <c r="P404" i="5" s="1"/>
  <c r="L408" i="5"/>
  <c r="O408" i="5" s="1"/>
  <c r="O410" i="5"/>
  <c r="N422" i="5"/>
  <c r="N421" i="5"/>
  <c r="O549" i="5"/>
  <c r="K560" i="5"/>
  <c r="K569" i="5"/>
  <c r="O96" i="5"/>
  <c r="O133" i="5"/>
  <c r="I174" i="5"/>
  <c r="I208" i="5"/>
  <c r="K208" i="5" s="1"/>
  <c r="P278" i="5"/>
  <c r="P323" i="5"/>
  <c r="L392" i="5"/>
  <c r="O392" i="5" s="1"/>
  <c r="O394" i="5"/>
  <c r="O403" i="5"/>
  <c r="M405" i="5"/>
  <c r="P405" i="5" s="1"/>
  <c r="N419" i="5"/>
  <c r="L446" i="5"/>
  <c r="O446" i="5" s="1"/>
  <c r="L502" i="5"/>
  <c r="O502" i="5" s="1"/>
  <c r="O503" i="5"/>
  <c r="N547" i="5"/>
  <c r="N546" i="5"/>
  <c r="N544" i="5" s="1"/>
  <c r="J592" i="5"/>
  <c r="K592" i="5" s="1"/>
  <c r="K593" i="5"/>
  <c r="N629" i="5"/>
  <c r="O528" i="5"/>
  <c r="L526" i="5"/>
  <c r="O526" i="5" s="1"/>
  <c r="P738" i="5"/>
  <c r="M737" i="5"/>
  <c r="P737" i="5" s="1"/>
  <c r="O806" i="5"/>
  <c r="L805" i="5"/>
  <c r="O805" i="5" s="1"/>
  <c r="P771" i="5"/>
  <c r="M770" i="5"/>
  <c r="P770" i="5" s="1"/>
  <c r="N631" i="5"/>
  <c r="N632" i="5"/>
  <c r="P755" i="5"/>
  <c r="M754" i="5"/>
  <c r="P754" i="5" s="1"/>
  <c r="O787" i="5"/>
  <c r="N789" i="5"/>
  <c r="K537" i="5"/>
  <c r="L546" i="5"/>
  <c r="K576" i="5"/>
  <c r="I654" i="5"/>
  <c r="K654" i="5" s="1"/>
  <c r="O791" i="5"/>
  <c r="M472" i="5"/>
  <c r="M502" i="5"/>
  <c r="P502" i="5" s="1"/>
  <c r="M549" i="5"/>
  <c r="K675" i="5"/>
  <c r="M685" i="5"/>
  <c r="P685" i="5" s="1"/>
  <c r="M786" i="5"/>
  <c r="P786" i="5" s="1"/>
  <c r="M805" i="5"/>
  <c r="P805" i="5" s="1"/>
  <c r="K672" i="5"/>
  <c r="L688" i="5"/>
  <c r="O688" i="5" s="1"/>
  <c r="K669" i="5"/>
  <c r="L687" i="5"/>
  <c r="O687" i="5" s="1"/>
  <c r="L533" i="4"/>
  <c r="O533" i="4" s="1"/>
  <c r="N230" i="1"/>
  <c r="M69" i="4"/>
  <c r="P69" i="4" s="1"/>
  <c r="M94" i="4"/>
  <c r="P94" i="4" s="1"/>
  <c r="L134" i="4"/>
  <c r="O134" i="4" s="1"/>
  <c r="O269" i="4"/>
  <c r="L347" i="4"/>
  <c r="K374" i="4"/>
  <c r="L229" i="3"/>
  <c r="L72" i="4"/>
  <c r="O72" i="4" s="1"/>
  <c r="P269" i="4"/>
  <c r="L546" i="4"/>
  <c r="O546" i="4" s="1"/>
  <c r="L688" i="4"/>
  <c r="O688" i="4" s="1"/>
  <c r="O690" i="4"/>
  <c r="L331" i="4"/>
  <c r="O331" i="4" s="1"/>
  <c r="M171" i="3"/>
  <c r="P171" i="3" s="1"/>
  <c r="J364" i="3"/>
  <c r="M55" i="4"/>
  <c r="M53" i="4" s="1"/>
  <c r="M134" i="4"/>
  <c r="P134" i="4" s="1"/>
  <c r="M279" i="4"/>
  <c r="P279" i="4" s="1"/>
  <c r="P306" i="4"/>
  <c r="O333" i="4"/>
  <c r="P407" i="4"/>
  <c r="O641" i="4"/>
  <c r="K672" i="4"/>
  <c r="M187" i="3"/>
  <c r="P187" i="3" s="1"/>
  <c r="L43" i="4"/>
  <c r="L41" i="4" s="1"/>
  <c r="N55" i="4"/>
  <c r="N53" i="4" s="1"/>
  <c r="O93" i="4"/>
  <c r="L90" i="4"/>
  <c r="L88" i="4" s="1"/>
  <c r="P137" i="4"/>
  <c r="K823" i="3"/>
  <c r="M43" i="4"/>
  <c r="M41" i="4" s="1"/>
  <c r="N68" i="4"/>
  <c r="N66" i="4" s="1"/>
  <c r="M68" i="4"/>
  <c r="P68" i="4" s="1"/>
  <c r="L138" i="4"/>
  <c r="O138" i="4" s="1"/>
  <c r="M300" i="4"/>
  <c r="M298" i="4" s="1"/>
  <c r="P298" i="4" s="1"/>
  <c r="L392" i="4"/>
  <c r="O392" i="4" s="1"/>
  <c r="K437" i="4"/>
  <c r="K675" i="4"/>
  <c r="K821" i="4"/>
  <c r="N56" i="4"/>
  <c r="O56" i="4" s="1"/>
  <c r="K435" i="3"/>
  <c r="M47" i="4"/>
  <c r="P47" i="4" s="1"/>
  <c r="L55" i="4"/>
  <c r="L53" i="4" s="1"/>
  <c r="L59" i="4"/>
  <c r="O59" i="4" s="1"/>
  <c r="M72" i="4"/>
  <c r="P72" i="4" s="1"/>
  <c r="M90" i="4"/>
  <c r="M88" i="4" s="1"/>
  <c r="M122" i="4"/>
  <c r="P122" i="4" s="1"/>
  <c r="L135" i="4"/>
  <c r="O135" i="4" s="1"/>
  <c r="I148" i="4"/>
  <c r="K148" i="4" s="1"/>
  <c r="I174" i="4"/>
  <c r="I208" i="4"/>
  <c r="K208" i="4" s="1"/>
  <c r="L209" i="4"/>
  <c r="O209" i="4" s="1"/>
  <c r="I275" i="4"/>
  <c r="K275" i="4" s="1"/>
  <c r="M280" i="4"/>
  <c r="P280" i="4" s="1"/>
  <c r="P282" i="4"/>
  <c r="J288" i="4"/>
  <c r="J275" i="4" s="1"/>
  <c r="L318" i="4"/>
  <c r="O318" i="4" s="1"/>
  <c r="M348" i="4"/>
  <c r="P348" i="4" s="1"/>
  <c r="N392" i="4"/>
  <c r="L395" i="4"/>
  <c r="O395" i="4" s="1"/>
  <c r="L404" i="4"/>
  <c r="L408" i="4"/>
  <c r="O408" i="4" s="1"/>
  <c r="K460" i="4"/>
  <c r="O535" i="4"/>
  <c r="I543" i="4"/>
  <c r="K543" i="4" s="1"/>
  <c r="L555" i="4"/>
  <c r="O555" i="4" s="1"/>
  <c r="M155" i="4"/>
  <c r="P155" i="4" s="1"/>
  <c r="M167" i="4"/>
  <c r="M165" i="4" s="1"/>
  <c r="L167" i="3"/>
  <c r="O167" i="3" s="1"/>
  <c r="P186" i="3"/>
  <c r="J722" i="3"/>
  <c r="O49" i="4"/>
  <c r="O74" i="4"/>
  <c r="L94" i="4"/>
  <c r="O94" i="4" s="1"/>
  <c r="P140" i="4"/>
  <c r="M184" i="4"/>
  <c r="L187" i="4"/>
  <c r="O187" i="4" s="1"/>
  <c r="K340" i="4"/>
  <c r="L351" i="4"/>
  <c r="P353" i="4"/>
  <c r="M395" i="4"/>
  <c r="P395" i="4" s="1"/>
  <c r="M404" i="4"/>
  <c r="P404" i="4" s="1"/>
  <c r="M424" i="4"/>
  <c r="P424" i="4" s="1"/>
  <c r="M472" i="4"/>
  <c r="P472" i="4" s="1"/>
  <c r="L547" i="4"/>
  <c r="O547" i="4" s="1"/>
  <c r="K577" i="4"/>
  <c r="K594" i="4"/>
  <c r="L657" i="4"/>
  <c r="O657" i="4" s="1"/>
  <c r="K673" i="4"/>
  <c r="N228" i="1"/>
  <c r="J236" i="1"/>
  <c r="M26" i="4"/>
  <c r="P49" i="4"/>
  <c r="I86" i="4"/>
  <c r="K86" i="4" s="1"/>
  <c r="O96" i="4"/>
  <c r="I112" i="4"/>
  <c r="K112" i="4" s="1"/>
  <c r="O137" i="4"/>
  <c r="J327" i="4"/>
  <c r="K327" i="4" s="1"/>
  <c r="P351" i="4"/>
  <c r="P410" i="4"/>
  <c r="L422" i="4"/>
  <c r="O422" i="4" s="1"/>
  <c r="L631" i="4"/>
  <c r="O631" i="4" s="1"/>
  <c r="L685" i="4"/>
  <c r="O685" i="4" s="1"/>
  <c r="K824" i="4"/>
  <c r="I216" i="3"/>
  <c r="K216" i="3" s="1"/>
  <c r="O58" i="4"/>
  <c r="K115" i="4"/>
  <c r="L217" i="4"/>
  <c r="O217" i="4" s="1"/>
  <c r="M321" i="4"/>
  <c r="P321" i="4" s="1"/>
  <c r="K359" i="4"/>
  <c r="K379" i="4"/>
  <c r="I434" i="4"/>
  <c r="I418" i="4" s="1"/>
  <c r="K418" i="4" s="1"/>
  <c r="O472" i="4"/>
  <c r="L525" i="4"/>
  <c r="O528" i="4"/>
  <c r="K369" i="2"/>
  <c r="K372" i="2"/>
  <c r="P140" i="3"/>
  <c r="L26" i="4"/>
  <c r="K338" i="4"/>
  <c r="K355" i="4"/>
  <c r="K360" i="4"/>
  <c r="K369" i="4"/>
  <c r="M55" i="2"/>
  <c r="M53" i="2" s="1"/>
  <c r="L135" i="3"/>
  <c r="O137" i="3"/>
  <c r="K381" i="3"/>
  <c r="P96" i="3"/>
  <c r="M94" i="3"/>
  <c r="P94" i="3" s="1"/>
  <c r="O173" i="3"/>
  <c r="L171" i="3"/>
  <c r="O171" i="3" s="1"/>
  <c r="P61" i="2"/>
  <c r="M59" i="2"/>
  <c r="P59" i="2" s="1"/>
  <c r="O19" i="4"/>
  <c r="P49" i="3"/>
  <c r="M43" i="3"/>
  <c r="M41" i="3" s="1"/>
  <c r="O269" i="3"/>
  <c r="L267" i="3"/>
  <c r="O267" i="3" s="1"/>
  <c r="P32" i="4"/>
  <c r="M29" i="4"/>
  <c r="K255" i="4"/>
  <c r="I248" i="4"/>
  <c r="K248" i="4" s="1"/>
  <c r="I233" i="4"/>
  <c r="K233" i="4" s="1"/>
  <c r="P806" i="4"/>
  <c r="M805" i="4"/>
  <c r="P805" i="4" s="1"/>
  <c r="O56" i="3"/>
  <c r="L94" i="3"/>
  <c r="O94" i="3" s="1"/>
  <c r="M134" i="3"/>
  <c r="M132" i="3" s="1"/>
  <c r="L168" i="3"/>
  <c r="O168" i="3" s="1"/>
  <c r="M283" i="3"/>
  <c r="P283" i="3" s="1"/>
  <c r="M300" i="3"/>
  <c r="M298" i="3" s="1"/>
  <c r="O350" i="3"/>
  <c r="O353" i="3"/>
  <c r="K370" i="3"/>
  <c r="K379" i="3"/>
  <c r="M395" i="3"/>
  <c r="P395" i="3" s="1"/>
  <c r="L525" i="3"/>
  <c r="L523" i="3" s="1"/>
  <c r="O523" i="3" s="1"/>
  <c r="L788" i="3"/>
  <c r="O788" i="3" s="1"/>
  <c r="O791" i="3"/>
  <c r="N19" i="4"/>
  <c r="I76" i="4"/>
  <c r="K143" i="4"/>
  <c r="P154" i="4"/>
  <c r="M151" i="4"/>
  <c r="P151" i="4" s="1"/>
  <c r="N184" i="4"/>
  <c r="O184" i="4" s="1"/>
  <c r="P186" i="4"/>
  <c r="N183" i="4"/>
  <c r="K224" i="4"/>
  <c r="L283" i="4"/>
  <c r="O283" i="4" s="1"/>
  <c r="J701" i="1"/>
  <c r="K701" i="1" s="1"/>
  <c r="O331" i="2"/>
  <c r="N26" i="4"/>
  <c r="I87" i="4"/>
  <c r="K87" i="4" s="1"/>
  <c r="N134" i="4"/>
  <c r="N132" i="4" s="1"/>
  <c r="N168" i="4"/>
  <c r="O168" i="4" s="1"/>
  <c r="O170" i="4"/>
  <c r="N167" i="4"/>
  <c r="N165" i="4" s="1"/>
  <c r="L228" i="4"/>
  <c r="L249" i="4"/>
  <c r="O249" i="4" s="1"/>
  <c r="O266" i="2"/>
  <c r="L477" i="2"/>
  <c r="O477" i="2" s="1"/>
  <c r="N68" i="3"/>
  <c r="N66" i="3" s="1"/>
  <c r="K359" i="3"/>
  <c r="O15" i="4"/>
  <c r="L23" i="4"/>
  <c r="L21" i="4" s="1"/>
  <c r="O29" i="4"/>
  <c r="N44" i="4"/>
  <c r="N23" i="4"/>
  <c r="I77" i="4"/>
  <c r="L91" i="4"/>
  <c r="P170" i="4"/>
  <c r="O262" i="4"/>
  <c r="P266" i="4"/>
  <c r="N264" i="4"/>
  <c r="P320" i="4"/>
  <c r="M317" i="4"/>
  <c r="M318" i="4"/>
  <c r="P318" i="4" s="1"/>
  <c r="N405" i="4"/>
  <c r="N404" i="4"/>
  <c r="N402" i="4" s="1"/>
  <c r="I297" i="2"/>
  <c r="K297" i="2" s="1"/>
  <c r="O58" i="3"/>
  <c r="N121" i="3"/>
  <c r="N119" i="3" s="1"/>
  <c r="M138" i="3"/>
  <c r="P138" i="3" s="1"/>
  <c r="L217" i="3"/>
  <c r="O217" i="3" s="1"/>
  <c r="N348" i="3"/>
  <c r="P348" i="3" s="1"/>
  <c r="K372" i="3"/>
  <c r="L405" i="3"/>
  <c r="O405" i="3" s="1"/>
  <c r="P407" i="3"/>
  <c r="K822" i="3"/>
  <c r="K828" i="3"/>
  <c r="M12" i="4"/>
  <c r="M23" i="4"/>
  <c r="M21" i="4" s="1"/>
  <c r="P25" i="4"/>
  <c r="M15" i="4"/>
  <c r="N31" i="4"/>
  <c r="N43" i="4"/>
  <c r="N41" i="4" s="1"/>
  <c r="O46" i="4"/>
  <c r="P58" i="4"/>
  <c r="N91" i="4"/>
  <c r="P91" i="4" s="1"/>
  <c r="P93" i="4"/>
  <c r="N90" i="4"/>
  <c r="L122" i="4"/>
  <c r="O122" i="4" s="1"/>
  <c r="K145" i="4"/>
  <c r="P150" i="4"/>
  <c r="K204" i="4"/>
  <c r="L238" i="4"/>
  <c r="O266" i="4"/>
  <c r="N301" i="4"/>
  <c r="N300" i="4"/>
  <c r="N298" i="4" s="1"/>
  <c r="O316" i="4"/>
  <c r="L321" i="4"/>
  <c r="O321" i="4" s="1"/>
  <c r="L317" i="4"/>
  <c r="O317" i="4" s="1"/>
  <c r="O323" i="4"/>
  <c r="J365" i="4"/>
  <c r="K372" i="4"/>
  <c r="K370" i="2"/>
  <c r="L249" i="3"/>
  <c r="O249" i="3" s="1"/>
  <c r="P46" i="4"/>
  <c r="P54" i="4"/>
  <c r="N121" i="4"/>
  <c r="N119" i="4" s="1"/>
  <c r="O133" i="4"/>
  <c r="L183" i="4"/>
  <c r="O186" i="4"/>
  <c r="L198" i="4"/>
  <c r="O198" i="4" s="1"/>
  <c r="M121" i="4"/>
  <c r="P121" i="4" s="1"/>
  <c r="J143" i="4"/>
  <c r="J131" i="4" s="1"/>
  <c r="L151" i="4"/>
  <c r="N280" i="4"/>
  <c r="N279" i="4"/>
  <c r="N277" i="4" s="1"/>
  <c r="P333" i="4"/>
  <c r="M347" i="4"/>
  <c r="M391" i="4"/>
  <c r="K144" i="4"/>
  <c r="I190" i="4"/>
  <c r="K190" i="4" s="1"/>
  <c r="I237" i="4"/>
  <c r="I260" i="4"/>
  <c r="K260" i="4" s="1"/>
  <c r="L279" i="4"/>
  <c r="P303" i="4"/>
  <c r="O351" i="4"/>
  <c r="O449" i="4"/>
  <c r="M449" i="4"/>
  <c r="L447" i="4"/>
  <c r="O447" i="4" s="1"/>
  <c r="L446" i="4"/>
  <c r="N470" i="4"/>
  <c r="N504" i="4"/>
  <c r="N502" i="4" s="1"/>
  <c r="N414" i="4" s="1"/>
  <c r="N505" i="4"/>
  <c r="K540" i="4"/>
  <c r="J537" i="4"/>
  <c r="J522" i="4" s="1"/>
  <c r="M392" i="4"/>
  <c r="P392" i="4" s="1"/>
  <c r="I522" i="4"/>
  <c r="K522" i="4" s="1"/>
  <c r="K537" i="4"/>
  <c r="O630" i="4"/>
  <c r="L348" i="4"/>
  <c r="O348" i="4" s="1"/>
  <c r="P503" i="4"/>
  <c r="M502" i="4"/>
  <c r="P502" i="4" s="1"/>
  <c r="L391" i="4"/>
  <c r="O391" i="4" s="1"/>
  <c r="L421" i="4"/>
  <c r="O421" i="4" s="1"/>
  <c r="P686" i="4"/>
  <c r="M685" i="4"/>
  <c r="P685" i="4" s="1"/>
  <c r="K827" i="4"/>
  <c r="I592" i="4"/>
  <c r="K592" i="4" s="1"/>
  <c r="K593" i="4"/>
  <c r="L632" i="4"/>
  <c r="O632" i="4" s="1"/>
  <c r="O634" i="4"/>
  <c r="N685" i="4"/>
  <c r="P787" i="4"/>
  <c r="M786" i="4"/>
  <c r="P786" i="4" s="1"/>
  <c r="N786" i="4"/>
  <c r="I785" i="4"/>
  <c r="K785" i="4" s="1"/>
  <c r="K800" i="4"/>
  <c r="K823" i="4"/>
  <c r="M549" i="4"/>
  <c r="M629" i="4"/>
  <c r="P629" i="4" s="1"/>
  <c r="L469" i="4"/>
  <c r="M545" i="4"/>
  <c r="K576" i="4"/>
  <c r="K651" i="4"/>
  <c r="L151" i="2"/>
  <c r="O151" i="2" s="1"/>
  <c r="P323" i="2"/>
  <c r="K338" i="2"/>
  <c r="K362" i="2"/>
  <c r="N404" i="2"/>
  <c r="N402" i="2" s="1"/>
  <c r="I112" i="3"/>
  <c r="K112" i="3" s="1"/>
  <c r="L122" i="3"/>
  <c r="O122" i="3" s="1"/>
  <c r="M121" i="3"/>
  <c r="P121" i="3" s="1"/>
  <c r="L263" i="2"/>
  <c r="L261" i="2" s="1"/>
  <c r="M301" i="2"/>
  <c r="P301" i="2" s="1"/>
  <c r="L525" i="2"/>
  <c r="O525" i="2" s="1"/>
  <c r="I76" i="3"/>
  <c r="I64" i="3" s="1"/>
  <c r="K64" i="3" s="1"/>
  <c r="N183" i="3"/>
  <c r="N181" i="3" s="1"/>
  <c r="N187" i="3"/>
  <c r="N404" i="3"/>
  <c r="N402" i="3" s="1"/>
  <c r="N405" i="3"/>
  <c r="L43" i="2"/>
  <c r="L41" i="2" s="1"/>
  <c r="N151" i="2"/>
  <c r="N149" i="2" s="1"/>
  <c r="L183" i="2"/>
  <c r="L181" i="2" s="1"/>
  <c r="P264" i="2"/>
  <c r="L267" i="2"/>
  <c r="O267" i="2" s="1"/>
  <c r="O91" i="3"/>
  <c r="L125" i="3"/>
  <c r="O125" i="3" s="1"/>
  <c r="N279" i="3"/>
  <c r="N277" i="3" s="1"/>
  <c r="L470" i="3"/>
  <c r="O470" i="3" s="1"/>
  <c r="M472" i="3"/>
  <c r="M470" i="3" s="1"/>
  <c r="L121" i="2"/>
  <c r="O121" i="2" s="1"/>
  <c r="K355" i="2"/>
  <c r="P46" i="3"/>
  <c r="L55" i="3"/>
  <c r="L53" i="3" s="1"/>
  <c r="O59" i="3"/>
  <c r="O71" i="3"/>
  <c r="M125" i="3"/>
  <c r="P125" i="3" s="1"/>
  <c r="L134" i="3"/>
  <c r="L132" i="3" s="1"/>
  <c r="L90" i="2"/>
  <c r="L88" i="2" s="1"/>
  <c r="M121" i="2"/>
  <c r="P121" i="2" s="1"/>
  <c r="K823" i="2"/>
  <c r="M47" i="3"/>
  <c r="P47" i="3" s="1"/>
  <c r="L90" i="3"/>
  <c r="L88" i="3" s="1"/>
  <c r="I130" i="3"/>
  <c r="K130" i="3" s="1"/>
  <c r="N167" i="3"/>
  <c r="N165" i="3" s="1"/>
  <c r="N171" i="3"/>
  <c r="I237" i="3"/>
  <c r="K237" i="3" s="1"/>
  <c r="K244" i="3"/>
  <c r="O410" i="3"/>
  <c r="L404" i="3"/>
  <c r="O404" i="3" s="1"/>
  <c r="I174" i="3"/>
  <c r="K174" i="3" s="1"/>
  <c r="O186" i="3"/>
  <c r="I276" i="3"/>
  <c r="K276" i="3" s="1"/>
  <c r="L317" i="3"/>
  <c r="L315" i="3" s="1"/>
  <c r="O333" i="3"/>
  <c r="L657" i="3"/>
  <c r="O657" i="3" s="1"/>
  <c r="K675" i="3"/>
  <c r="L198" i="3"/>
  <c r="O198" i="3" s="1"/>
  <c r="L263" i="3"/>
  <c r="L261" i="3" s="1"/>
  <c r="M304" i="3"/>
  <c r="P304" i="3" s="1"/>
  <c r="L421" i="3"/>
  <c r="O421" i="3" s="1"/>
  <c r="I443" i="3"/>
  <c r="K443" i="3" s="1"/>
  <c r="L334" i="3"/>
  <c r="O334" i="3" s="1"/>
  <c r="L348" i="3"/>
  <c r="L454" i="3"/>
  <c r="O454" i="3" s="1"/>
  <c r="L231" i="3"/>
  <c r="L658" i="3"/>
  <c r="O658" i="3" s="1"/>
  <c r="K674" i="3"/>
  <c r="M56" i="3"/>
  <c r="P56" i="3" s="1"/>
  <c r="M263" i="1"/>
  <c r="M261" i="1" s="1"/>
  <c r="L152" i="2"/>
  <c r="O152" i="2" s="1"/>
  <c r="K385" i="2"/>
  <c r="K651" i="2"/>
  <c r="P71" i="3"/>
  <c r="K78" i="3"/>
  <c r="I87" i="3"/>
  <c r="K87" i="3" s="1"/>
  <c r="L138" i="3"/>
  <c r="O138" i="3" s="1"/>
  <c r="L184" i="3"/>
  <c r="O184" i="3" s="1"/>
  <c r="M183" i="3"/>
  <c r="N283" i="3"/>
  <c r="N301" i="3"/>
  <c r="P301" i="3" s="1"/>
  <c r="O320" i="3"/>
  <c r="P331" i="3"/>
  <c r="K340" i="3"/>
  <c r="P353" i="3"/>
  <c r="L402" i="3"/>
  <c r="O402" i="3" s="1"/>
  <c r="M404" i="3"/>
  <c r="L408" i="3"/>
  <c r="O408" i="3" s="1"/>
  <c r="K460" i="3"/>
  <c r="O479" i="3"/>
  <c r="M68" i="3"/>
  <c r="M125" i="2"/>
  <c r="P125" i="2" s="1"/>
  <c r="L330" i="2"/>
  <c r="L328" i="2" s="1"/>
  <c r="M23" i="3"/>
  <c r="M21" i="3" s="1"/>
  <c r="M72" i="3"/>
  <c r="P72" i="3" s="1"/>
  <c r="L121" i="3"/>
  <c r="L119" i="3" s="1"/>
  <c r="O119" i="3" s="1"/>
  <c r="I148" i="3"/>
  <c r="K148" i="3" s="1"/>
  <c r="M184" i="3"/>
  <c r="P184" i="3" s="1"/>
  <c r="O266" i="3"/>
  <c r="L321" i="3"/>
  <c r="O321" i="3" s="1"/>
  <c r="L351" i="3"/>
  <c r="O351" i="3" s="1"/>
  <c r="K362" i="3"/>
  <c r="O528" i="3"/>
  <c r="K824" i="3"/>
  <c r="N263" i="2"/>
  <c r="P282" i="2"/>
  <c r="O353" i="2"/>
  <c r="K381" i="2"/>
  <c r="N405" i="2"/>
  <c r="M90" i="3"/>
  <c r="M88" i="3" s="1"/>
  <c r="O140" i="3"/>
  <c r="L230" i="3"/>
  <c r="N263" i="3"/>
  <c r="N261" i="3" s="1"/>
  <c r="I297" i="3"/>
  <c r="K297" i="3" s="1"/>
  <c r="O306" i="3"/>
  <c r="L347" i="3"/>
  <c r="K385" i="3"/>
  <c r="L526" i="3"/>
  <c r="O526" i="3" s="1"/>
  <c r="K561" i="3"/>
  <c r="O318" i="3"/>
  <c r="L331" i="3"/>
  <c r="O331" i="3" s="1"/>
  <c r="L231" i="2"/>
  <c r="M55" i="3"/>
  <c r="P59" i="3"/>
  <c r="L209" i="3"/>
  <c r="O209" i="3" s="1"/>
  <c r="L330" i="3"/>
  <c r="L328" i="3" s="1"/>
  <c r="K294" i="1"/>
  <c r="L171" i="2"/>
  <c r="O171" i="2" s="1"/>
  <c r="K379" i="2"/>
  <c r="L36" i="3"/>
  <c r="O36" i="3" s="1"/>
  <c r="I77" i="3"/>
  <c r="K77" i="3" s="1"/>
  <c r="P303" i="3"/>
  <c r="N330" i="3"/>
  <c r="N328" i="3" s="1"/>
  <c r="K338" i="3"/>
  <c r="K369" i="3"/>
  <c r="K374" i="3"/>
  <c r="N391" i="3"/>
  <c r="N389" i="3" s="1"/>
  <c r="J433" i="3"/>
  <c r="K433" i="3" s="1"/>
  <c r="L555" i="3"/>
  <c r="O555" i="3" s="1"/>
  <c r="K577" i="3"/>
  <c r="M687" i="1"/>
  <c r="M685" i="1" s="1"/>
  <c r="K374" i="2"/>
  <c r="L15" i="3"/>
  <c r="P22" i="3"/>
  <c r="M19" i="3"/>
  <c r="M12" i="3"/>
  <c r="L23" i="3"/>
  <c r="L21" i="3" s="1"/>
  <c r="O46" i="3"/>
  <c r="N55" i="3"/>
  <c r="N53" i="3" s="1"/>
  <c r="P133" i="3"/>
  <c r="L155" i="3"/>
  <c r="O155" i="3" s="1"/>
  <c r="O157" i="3"/>
  <c r="M167" i="3"/>
  <c r="M279" i="3"/>
  <c r="P282" i="3"/>
  <c r="O285" i="3"/>
  <c r="L283" i="3"/>
  <c r="O283" i="3" s="1"/>
  <c r="L279" i="3"/>
  <c r="J288" i="3"/>
  <c r="J275" i="3" s="1"/>
  <c r="I275" i="3"/>
  <c r="O420" i="3"/>
  <c r="K438" i="3"/>
  <c r="I434" i="3"/>
  <c r="O449" i="3"/>
  <c r="L446" i="3"/>
  <c r="O446" i="3" s="1"/>
  <c r="M449" i="3"/>
  <c r="L447" i="3"/>
  <c r="O447" i="3" s="1"/>
  <c r="L33" i="3"/>
  <c r="L31" i="3" s="1"/>
  <c r="N469" i="3"/>
  <c r="N470" i="3"/>
  <c r="O472" i="3"/>
  <c r="N33" i="3"/>
  <c r="K540" i="3"/>
  <c r="J537" i="3"/>
  <c r="J522" i="3" s="1"/>
  <c r="K522" i="3" s="1"/>
  <c r="O806" i="3"/>
  <c r="L805" i="3"/>
  <c r="O805" i="3" s="1"/>
  <c r="L68" i="1"/>
  <c r="L66" i="1" s="1"/>
  <c r="N229" i="1"/>
  <c r="L263" i="1"/>
  <c r="L261" i="1" s="1"/>
  <c r="N134" i="2"/>
  <c r="N132" i="2" s="1"/>
  <c r="N167" i="2"/>
  <c r="N165" i="2" s="1"/>
  <c r="M267" i="2"/>
  <c r="P267" i="2" s="1"/>
  <c r="O282" i="2"/>
  <c r="O320" i="2"/>
  <c r="L347" i="2"/>
  <c r="L345" i="2" s="1"/>
  <c r="N9" i="3"/>
  <c r="P15" i="3"/>
  <c r="L29" i="3"/>
  <c r="O49" i="3"/>
  <c r="L26" i="3"/>
  <c r="P61" i="3"/>
  <c r="L68" i="3"/>
  <c r="P124" i="3"/>
  <c r="M122" i="3"/>
  <c r="P122" i="3" s="1"/>
  <c r="N135" i="3"/>
  <c r="P137" i="3"/>
  <c r="P157" i="3"/>
  <c r="M151" i="3"/>
  <c r="M26" i="3"/>
  <c r="O166" i="3"/>
  <c r="I190" i="3"/>
  <c r="K190" i="3" s="1"/>
  <c r="M280" i="3"/>
  <c r="P280" i="3" s="1"/>
  <c r="L301" i="3"/>
  <c r="O303" i="3"/>
  <c r="L300" i="3"/>
  <c r="P318" i="2"/>
  <c r="P29" i="3"/>
  <c r="J143" i="3"/>
  <c r="J131" i="3" s="1"/>
  <c r="I143" i="3"/>
  <c r="P394" i="3"/>
  <c r="M391" i="3"/>
  <c r="P391" i="3" s="1"/>
  <c r="M392" i="3"/>
  <c r="P392" i="3" s="1"/>
  <c r="N121" i="2"/>
  <c r="N119" i="2" s="1"/>
  <c r="M279" i="2"/>
  <c r="M277" i="2" s="1"/>
  <c r="N279" i="2"/>
  <c r="N277" i="2" s="1"/>
  <c r="N391" i="2"/>
  <c r="N389" i="2" s="1"/>
  <c r="L33" i="2"/>
  <c r="O33" i="2" s="1"/>
  <c r="N23" i="3"/>
  <c r="P35" i="3"/>
  <c r="M34" i="3"/>
  <c r="P34" i="3" s="1"/>
  <c r="L47" i="3"/>
  <c r="O47" i="3" s="1"/>
  <c r="N26" i="3"/>
  <c r="O61" i="3"/>
  <c r="K145" i="3"/>
  <c r="M168" i="3"/>
  <c r="P168" i="3" s="1"/>
  <c r="O189" i="3"/>
  <c r="L183" i="3"/>
  <c r="K255" i="3"/>
  <c r="I248" i="3"/>
  <c r="I233" i="3"/>
  <c r="K233" i="3" s="1"/>
  <c r="P266" i="3"/>
  <c r="M263" i="3"/>
  <c r="I260" i="3"/>
  <c r="K260" i="3" s="1"/>
  <c r="K271" i="3"/>
  <c r="M318" i="3"/>
  <c r="P318" i="3" s="1"/>
  <c r="M317" i="3"/>
  <c r="P320" i="3"/>
  <c r="K225" i="1"/>
  <c r="I112" i="2"/>
  <c r="K112" i="2" s="1"/>
  <c r="L184" i="2"/>
  <c r="O184" i="2" s="1"/>
  <c r="O186" i="2"/>
  <c r="N26" i="2"/>
  <c r="N16" i="2" s="1"/>
  <c r="N14" i="2" s="1"/>
  <c r="M263" i="2"/>
  <c r="M261" i="2" s="1"/>
  <c r="M280" i="2"/>
  <c r="P280" i="2" s="1"/>
  <c r="M283" i="2"/>
  <c r="P283" i="2" s="1"/>
  <c r="L301" i="2"/>
  <c r="O301" i="2" s="1"/>
  <c r="M321" i="2"/>
  <c r="P321" i="2" s="1"/>
  <c r="N317" i="2"/>
  <c r="N315" i="2" s="1"/>
  <c r="L405" i="2"/>
  <c r="O405" i="2" s="1"/>
  <c r="I443" i="2"/>
  <c r="K443" i="2" s="1"/>
  <c r="J721" i="2"/>
  <c r="K821" i="2"/>
  <c r="L69" i="3"/>
  <c r="K81" i="3"/>
  <c r="P93" i="3"/>
  <c r="M91" i="3"/>
  <c r="P91" i="3" s="1"/>
  <c r="N134" i="3"/>
  <c r="L238" i="3"/>
  <c r="L228" i="3"/>
  <c r="M264" i="3"/>
  <c r="P264" i="3" s="1"/>
  <c r="P350" i="3"/>
  <c r="M347" i="3"/>
  <c r="P140" i="1"/>
  <c r="J729" i="1"/>
  <c r="P186" i="2"/>
  <c r="O22" i="3"/>
  <c r="L19" i="3"/>
  <c r="L12" i="3"/>
  <c r="L43" i="3"/>
  <c r="L72" i="3"/>
  <c r="O72" i="3" s="1"/>
  <c r="O89" i="3"/>
  <c r="N90" i="3"/>
  <c r="N88" i="3" s="1"/>
  <c r="O154" i="3"/>
  <c r="L151" i="3"/>
  <c r="K204" i="3"/>
  <c r="I197" i="3"/>
  <c r="K197" i="3" s="1"/>
  <c r="P333" i="3"/>
  <c r="M330" i="3"/>
  <c r="N44" i="3"/>
  <c r="O44" i="3" s="1"/>
  <c r="N47" i="3"/>
  <c r="N69" i="3"/>
  <c r="P69" i="3" s="1"/>
  <c r="O93" i="3"/>
  <c r="N152" i="3"/>
  <c r="P152" i="3" s="1"/>
  <c r="P154" i="3"/>
  <c r="O316" i="3"/>
  <c r="L632" i="3"/>
  <c r="O632" i="3" s="1"/>
  <c r="O634" i="3"/>
  <c r="L631" i="3"/>
  <c r="O262" i="3"/>
  <c r="I364" i="3"/>
  <c r="K365" i="3"/>
  <c r="P503" i="3"/>
  <c r="M502" i="3"/>
  <c r="P502" i="3" s="1"/>
  <c r="M525" i="3"/>
  <c r="M526" i="3"/>
  <c r="P526" i="3" s="1"/>
  <c r="O549" i="3"/>
  <c r="M549" i="3"/>
  <c r="L546" i="3"/>
  <c r="L547" i="3"/>
  <c r="O547" i="3" s="1"/>
  <c r="P771" i="3"/>
  <c r="M770" i="3"/>
  <c r="P770" i="3" s="1"/>
  <c r="I208" i="3"/>
  <c r="K208" i="3" s="1"/>
  <c r="N321" i="3"/>
  <c r="N317" i="3"/>
  <c r="M351" i="3"/>
  <c r="P351" i="3" s="1"/>
  <c r="O390" i="3"/>
  <c r="N395" i="3"/>
  <c r="O787" i="3"/>
  <c r="O264" i="3"/>
  <c r="O282" i="3"/>
  <c r="L280" i="3"/>
  <c r="O280" i="3" s="1"/>
  <c r="J327" i="3"/>
  <c r="K327" i="3" s="1"/>
  <c r="P424" i="3"/>
  <c r="M421" i="3"/>
  <c r="P421" i="3" s="1"/>
  <c r="O445" i="3"/>
  <c r="P278" i="3"/>
  <c r="O299" i="3"/>
  <c r="K360" i="3"/>
  <c r="N502" i="3"/>
  <c r="N770" i="3"/>
  <c r="P806" i="3"/>
  <c r="M805" i="3"/>
  <c r="P805" i="3" s="1"/>
  <c r="K378" i="3"/>
  <c r="L392" i="3"/>
  <c r="O392" i="3" s="1"/>
  <c r="O394" i="3"/>
  <c r="L422" i="3"/>
  <c r="O422" i="3" s="1"/>
  <c r="O424" i="3"/>
  <c r="I628" i="3"/>
  <c r="K628" i="3" s="1"/>
  <c r="K651" i="3"/>
  <c r="K821" i="3"/>
  <c r="K827" i="3"/>
  <c r="P390" i="3"/>
  <c r="L395" i="3"/>
  <c r="O395" i="3" s="1"/>
  <c r="O397" i="3"/>
  <c r="P420" i="3"/>
  <c r="P555" i="3"/>
  <c r="M545" i="3"/>
  <c r="I559" i="3"/>
  <c r="K576" i="3"/>
  <c r="P787" i="3"/>
  <c r="M786" i="3"/>
  <c r="P786" i="3" s="1"/>
  <c r="O431" i="3"/>
  <c r="I592" i="3"/>
  <c r="K592" i="3" s="1"/>
  <c r="K593" i="3"/>
  <c r="P630" i="3"/>
  <c r="M629" i="3"/>
  <c r="P629" i="3" s="1"/>
  <c r="N786" i="3"/>
  <c r="I785" i="3"/>
  <c r="K785" i="3" s="1"/>
  <c r="K800" i="3"/>
  <c r="L469" i="3"/>
  <c r="K672" i="3"/>
  <c r="L688" i="3"/>
  <c r="O688" i="3" s="1"/>
  <c r="K669" i="3"/>
  <c r="L687" i="3"/>
  <c r="K103" i="1"/>
  <c r="M122" i="2"/>
  <c r="P122" i="2" s="1"/>
  <c r="N152" i="2"/>
  <c r="P152" i="2" s="1"/>
  <c r="M155" i="2"/>
  <c r="P155" i="2" s="1"/>
  <c r="N187" i="2"/>
  <c r="L230" i="2"/>
  <c r="N283" i="2"/>
  <c r="L348" i="2"/>
  <c r="K360" i="2"/>
  <c r="M549" i="2"/>
  <c r="M546" i="2" s="1"/>
  <c r="P124" i="2"/>
  <c r="L167" i="2"/>
  <c r="O167" i="2" s="1"/>
  <c r="L229" i="2"/>
  <c r="L318" i="2"/>
  <c r="O318" i="2" s="1"/>
  <c r="L334" i="2"/>
  <c r="O334" i="2" s="1"/>
  <c r="L422" i="2"/>
  <c r="O422" i="2" s="1"/>
  <c r="I434" i="2"/>
  <c r="I418" i="2" s="1"/>
  <c r="L469" i="2"/>
  <c r="O469" i="2" s="1"/>
  <c r="M472" i="2"/>
  <c r="M470" i="2" s="1"/>
  <c r="P470" i="2" s="1"/>
  <c r="K822" i="2"/>
  <c r="K827" i="2"/>
  <c r="K104" i="1"/>
  <c r="O331" i="1"/>
  <c r="L94" i="2"/>
  <c r="O94" i="2" s="1"/>
  <c r="L125" i="2"/>
  <c r="O125" i="2" s="1"/>
  <c r="O170" i="2"/>
  <c r="P173" i="2"/>
  <c r="P266" i="2"/>
  <c r="O323" i="2"/>
  <c r="N392" i="2"/>
  <c r="O549" i="2"/>
  <c r="L631" i="2"/>
  <c r="L629" i="2" s="1"/>
  <c r="O629" i="2" s="1"/>
  <c r="K672" i="2"/>
  <c r="L788" i="2"/>
  <c r="O788" i="2" s="1"/>
  <c r="L121" i="1"/>
  <c r="L119" i="1" s="1"/>
  <c r="M264" i="1"/>
  <c r="P264" i="1" s="1"/>
  <c r="N23" i="2"/>
  <c r="N13" i="2" s="1"/>
  <c r="I86" i="2"/>
  <c r="K86" i="2" s="1"/>
  <c r="P170" i="2"/>
  <c r="L217" i="2"/>
  <c r="O217" i="2" s="1"/>
  <c r="K621" i="2"/>
  <c r="K110" i="1"/>
  <c r="M404" i="1"/>
  <c r="M402" i="1" s="1"/>
  <c r="O46" i="2"/>
  <c r="M72" i="2"/>
  <c r="P72" i="2" s="1"/>
  <c r="M151" i="2"/>
  <c r="M149" i="2" s="1"/>
  <c r="K418" i="2"/>
  <c r="I112" i="1"/>
  <c r="J233" i="1"/>
  <c r="N55" i="2"/>
  <c r="O69" i="2"/>
  <c r="M90" i="2"/>
  <c r="M88" i="2" s="1"/>
  <c r="O93" i="2"/>
  <c r="M138" i="2"/>
  <c r="P138" i="2" s="1"/>
  <c r="P154" i="2"/>
  <c r="O189" i="2"/>
  <c r="L198" i="2"/>
  <c r="O198" i="2" s="1"/>
  <c r="I233" i="2"/>
  <c r="K233" i="2" s="1"/>
  <c r="L249" i="2"/>
  <c r="O249" i="2" s="1"/>
  <c r="L264" i="2"/>
  <c r="O264" i="2" s="1"/>
  <c r="L304" i="2"/>
  <c r="O304" i="2" s="1"/>
  <c r="L658" i="2"/>
  <c r="O658" i="2" s="1"/>
  <c r="L657" i="2"/>
  <c r="O660" i="2"/>
  <c r="K800" i="2"/>
  <c r="I785" i="2"/>
  <c r="K785" i="2" s="1"/>
  <c r="L55" i="1"/>
  <c r="L53" i="1" s="1"/>
  <c r="K83" i="1"/>
  <c r="P127" i="1"/>
  <c r="K370" i="1"/>
  <c r="K378" i="1"/>
  <c r="K381" i="1"/>
  <c r="O397" i="1"/>
  <c r="K483" i="1"/>
  <c r="L687" i="1"/>
  <c r="L685" i="1" s="1"/>
  <c r="M26" i="2"/>
  <c r="M24" i="2" s="1"/>
  <c r="L55" i="2"/>
  <c r="L53" i="2" s="1"/>
  <c r="N68" i="2"/>
  <c r="N66" i="2" s="1"/>
  <c r="P71" i="2"/>
  <c r="L91" i="2"/>
  <c r="L155" i="2"/>
  <c r="O155" i="2" s="1"/>
  <c r="P184" i="2"/>
  <c r="I190" i="2"/>
  <c r="K190" i="2" s="1"/>
  <c r="I208" i="2"/>
  <c r="K208" i="2" s="1"/>
  <c r="L209" i="2"/>
  <c r="O209" i="2" s="1"/>
  <c r="K365" i="2"/>
  <c r="O395" i="2"/>
  <c r="O690" i="2"/>
  <c r="L688" i="2"/>
  <c r="O688" i="2" s="1"/>
  <c r="N231" i="1"/>
  <c r="O56" i="2"/>
  <c r="P69" i="2"/>
  <c r="I276" i="2"/>
  <c r="K276" i="2" s="1"/>
  <c r="K287" i="2"/>
  <c r="L300" i="2"/>
  <c r="O300" i="2" s="1"/>
  <c r="M317" i="2"/>
  <c r="P320" i="2"/>
  <c r="M151" i="1"/>
  <c r="M149" i="1" s="1"/>
  <c r="L300" i="1"/>
  <c r="L298" i="1" s="1"/>
  <c r="M56" i="2"/>
  <c r="P56" i="2" s="1"/>
  <c r="O350" i="2"/>
  <c r="N348" i="2"/>
  <c r="P407" i="2"/>
  <c r="M405" i="2"/>
  <c r="P405" i="2" s="1"/>
  <c r="L555" i="2"/>
  <c r="O555" i="2" s="1"/>
  <c r="O557" i="2"/>
  <c r="L546" i="2"/>
  <c r="O546" i="2" s="1"/>
  <c r="N151" i="1"/>
  <c r="N149" i="1" s="1"/>
  <c r="M47" i="2"/>
  <c r="P47" i="2" s="1"/>
  <c r="P58" i="2"/>
  <c r="I77" i="2"/>
  <c r="I65" i="2" s="1"/>
  <c r="K65" i="2" s="1"/>
  <c r="N351" i="2"/>
  <c r="O351" i="2" s="1"/>
  <c r="M634" i="2"/>
  <c r="M632" i="2" s="1"/>
  <c r="P632" i="2" s="1"/>
  <c r="L632" i="2"/>
  <c r="O632" i="2" s="1"/>
  <c r="O634" i="2"/>
  <c r="K385" i="1"/>
  <c r="L36" i="2"/>
  <c r="L59" i="2"/>
  <c r="O59" i="2" s="1"/>
  <c r="L122" i="2"/>
  <c r="O122" i="2" s="1"/>
  <c r="I130" i="2"/>
  <c r="K130" i="2" s="1"/>
  <c r="M135" i="2"/>
  <c r="P135" i="2" s="1"/>
  <c r="O154" i="2"/>
  <c r="K159" i="2"/>
  <c r="M167" i="2"/>
  <c r="P167" i="2" s="1"/>
  <c r="K174" i="2"/>
  <c r="L321" i="2"/>
  <c r="O321" i="2" s="1"/>
  <c r="O397" i="2"/>
  <c r="L391" i="2"/>
  <c r="L389" i="2" s="1"/>
  <c r="O424" i="2"/>
  <c r="M424" i="2"/>
  <c r="M421" i="2" s="1"/>
  <c r="P421" i="2" s="1"/>
  <c r="L421" i="2"/>
  <c r="O421" i="2" s="1"/>
  <c r="K460" i="2"/>
  <c r="I442" i="2"/>
  <c r="K442" i="2" s="1"/>
  <c r="O408" i="2"/>
  <c r="J327" i="2"/>
  <c r="K327" i="2" s="1"/>
  <c r="L392" i="2"/>
  <c r="O392" i="2" s="1"/>
  <c r="L446" i="2"/>
  <c r="O446" i="2" s="1"/>
  <c r="O456" i="2"/>
  <c r="K568" i="2"/>
  <c r="K649" i="2"/>
  <c r="K828" i="2"/>
  <c r="N300" i="2"/>
  <c r="N298" i="2" s="1"/>
  <c r="L317" i="2"/>
  <c r="M330" i="2"/>
  <c r="M328" i="2" s="1"/>
  <c r="K359" i="2"/>
  <c r="M391" i="2"/>
  <c r="L470" i="2"/>
  <c r="O470" i="2" s="1"/>
  <c r="K560" i="2"/>
  <c r="K628" i="2"/>
  <c r="K647" i="2"/>
  <c r="K824" i="2"/>
  <c r="O449" i="2"/>
  <c r="K675" i="2"/>
  <c r="J560" i="1"/>
  <c r="K560" i="1" s="1"/>
  <c r="M9" i="2"/>
  <c r="L44" i="2"/>
  <c r="L23" i="2"/>
  <c r="L68" i="2"/>
  <c r="P93" i="2"/>
  <c r="L134" i="2"/>
  <c r="O134" i="2" s="1"/>
  <c r="J143" i="2"/>
  <c r="J131" i="2" s="1"/>
  <c r="M183" i="2"/>
  <c r="M181" i="2" s="1"/>
  <c r="K224" i="2"/>
  <c r="L228" i="2"/>
  <c r="K244" i="2"/>
  <c r="L283" i="2"/>
  <c r="O283" i="2" s="1"/>
  <c r="M351" i="2"/>
  <c r="P353" i="2"/>
  <c r="M68" i="1"/>
  <c r="M66" i="1" s="1"/>
  <c r="K99" i="1"/>
  <c r="K214" i="1"/>
  <c r="K223" i="1"/>
  <c r="P282" i="1"/>
  <c r="N317" i="1"/>
  <c r="N315" i="1" s="1"/>
  <c r="M347" i="1"/>
  <c r="M345" i="1" s="1"/>
  <c r="J604" i="1"/>
  <c r="K628" i="1"/>
  <c r="N44" i="2"/>
  <c r="P44" i="2" s="1"/>
  <c r="M23" i="2"/>
  <c r="P46" i="2"/>
  <c r="O49" i="2"/>
  <c r="O58" i="2"/>
  <c r="M68" i="2"/>
  <c r="O71" i="2"/>
  <c r="O124" i="2"/>
  <c r="M134" i="2"/>
  <c r="P134" i="2" s="1"/>
  <c r="O137" i="2"/>
  <c r="N168" i="2"/>
  <c r="K176" i="2"/>
  <c r="N183" i="2"/>
  <c r="P189" i="2"/>
  <c r="L238" i="2"/>
  <c r="M331" i="2"/>
  <c r="P331" i="2" s="1"/>
  <c r="P333" i="2"/>
  <c r="K378" i="2"/>
  <c r="O403" i="2"/>
  <c r="J100" i="1"/>
  <c r="K100" i="1" s="1"/>
  <c r="L33" i="1"/>
  <c r="L31" i="1" s="1"/>
  <c r="O32" i="2"/>
  <c r="L29" i="2"/>
  <c r="I76" i="2"/>
  <c r="K80" i="2"/>
  <c r="K237" i="2"/>
  <c r="O333" i="2"/>
  <c r="N330" i="2"/>
  <c r="I417" i="2"/>
  <c r="P266" i="1"/>
  <c r="L26" i="2"/>
  <c r="M43" i="2"/>
  <c r="N91" i="2"/>
  <c r="K204" i="2"/>
  <c r="I260" i="2"/>
  <c r="K260" i="2" s="1"/>
  <c r="L280" i="2"/>
  <c r="O280" i="2" s="1"/>
  <c r="M304" i="2"/>
  <c r="P304" i="2" s="1"/>
  <c r="K437" i="1"/>
  <c r="N12" i="2"/>
  <c r="M29" i="2"/>
  <c r="N31" i="2"/>
  <c r="M34" i="2"/>
  <c r="P34" i="2" s="1"/>
  <c r="M300" i="2"/>
  <c r="P300" i="2" s="1"/>
  <c r="I314" i="2"/>
  <c r="K314" i="2" s="1"/>
  <c r="M334" i="2"/>
  <c r="P334" i="2" s="1"/>
  <c r="P336" i="2"/>
  <c r="K340" i="2"/>
  <c r="M348" i="2"/>
  <c r="M347" i="2"/>
  <c r="P350" i="2"/>
  <c r="P137" i="1"/>
  <c r="L9" i="2"/>
  <c r="O25" i="2"/>
  <c r="L15" i="2"/>
  <c r="O74" i="2"/>
  <c r="N90" i="2"/>
  <c r="P96" i="2"/>
  <c r="K99" i="2"/>
  <c r="O140" i="2"/>
  <c r="L279" i="2"/>
  <c r="M395" i="2"/>
  <c r="P395" i="2" s="1"/>
  <c r="P397" i="2"/>
  <c r="I275" i="2"/>
  <c r="J288" i="2"/>
  <c r="J275" i="2" s="1"/>
  <c r="N347" i="2"/>
  <c r="I364" i="2"/>
  <c r="P394" i="2"/>
  <c r="L404" i="2"/>
  <c r="O410" i="2"/>
  <c r="J592" i="2"/>
  <c r="K592" i="2" s="1"/>
  <c r="K593" i="2"/>
  <c r="I143" i="2"/>
  <c r="I248" i="2"/>
  <c r="K248" i="2" s="1"/>
  <c r="J364" i="2"/>
  <c r="M404" i="2"/>
  <c r="P408" i="2"/>
  <c r="P410" i="2"/>
  <c r="K438" i="2"/>
  <c r="M444" i="2"/>
  <c r="P444" i="2" s="1"/>
  <c r="P445" i="2"/>
  <c r="K435" i="2"/>
  <c r="J433" i="2"/>
  <c r="J417" i="2" s="1"/>
  <c r="K559" i="2"/>
  <c r="P403" i="2"/>
  <c r="N504" i="2"/>
  <c r="N502" i="2" s="1"/>
  <c r="N414" i="2" s="1"/>
  <c r="J537" i="2"/>
  <c r="J522" i="2" s="1"/>
  <c r="I543" i="2"/>
  <c r="K543" i="2" s="1"/>
  <c r="K674" i="2"/>
  <c r="N688" i="2"/>
  <c r="N739" i="2"/>
  <c r="N737" i="2" s="1"/>
  <c r="N756" i="2"/>
  <c r="N754" i="2" s="1"/>
  <c r="N772" i="2"/>
  <c r="N770" i="2" s="1"/>
  <c r="N808" i="2"/>
  <c r="O468" i="2"/>
  <c r="I522" i="2"/>
  <c r="P524" i="2"/>
  <c r="L526" i="2"/>
  <c r="O526" i="2" s="1"/>
  <c r="L533" i="2"/>
  <c r="O533" i="2" s="1"/>
  <c r="I654" i="2"/>
  <c r="K654" i="2" s="1"/>
  <c r="P656" i="2"/>
  <c r="M528" i="2"/>
  <c r="K576" i="2"/>
  <c r="K669" i="2"/>
  <c r="L687" i="2"/>
  <c r="L47" i="1"/>
  <c r="O47" i="1" s="1"/>
  <c r="N90" i="1"/>
  <c r="N88" i="1" s="1"/>
  <c r="L198" i="1"/>
  <c r="K293" i="1"/>
  <c r="K340" i="1"/>
  <c r="K360" i="1"/>
  <c r="K362" i="1"/>
  <c r="K487" i="1"/>
  <c r="M631" i="1"/>
  <c r="M629" i="1" s="1"/>
  <c r="K671" i="1"/>
  <c r="M183" i="1"/>
  <c r="M181" i="1" s="1"/>
  <c r="K193" i="1"/>
  <c r="L229" i="1"/>
  <c r="K237" i="1"/>
  <c r="K539" i="1"/>
  <c r="M72" i="1"/>
  <c r="P72" i="1" s="1"/>
  <c r="K81" i="1"/>
  <c r="N134" i="1"/>
  <c r="N132" i="1" s="1"/>
  <c r="M330" i="1"/>
  <c r="M328" i="1" s="1"/>
  <c r="J327" i="1"/>
  <c r="K327" i="1" s="1"/>
  <c r="K369" i="1"/>
  <c r="L392" i="1"/>
  <c r="O392" i="1" s="1"/>
  <c r="M405" i="1"/>
  <c r="P405" i="1" s="1"/>
  <c r="P407" i="1"/>
  <c r="J434" i="1"/>
  <c r="J418" i="1" s="1"/>
  <c r="M446" i="1"/>
  <c r="M444" i="1" s="1"/>
  <c r="L469" i="1"/>
  <c r="L467" i="1" s="1"/>
  <c r="J76" i="1"/>
  <c r="J64" i="1" s="1"/>
  <c r="M152" i="1"/>
  <c r="M155" i="1"/>
  <c r="P155" i="1" s="1"/>
  <c r="L167" i="1"/>
  <c r="L165" i="1" s="1"/>
  <c r="O170" i="1"/>
  <c r="O173" i="1"/>
  <c r="L209" i="1"/>
  <c r="P394" i="1"/>
  <c r="K651" i="1"/>
  <c r="K79" i="1"/>
  <c r="K291" i="1"/>
  <c r="K439" i="1"/>
  <c r="K670" i="1"/>
  <c r="K190" i="1"/>
  <c r="J235" i="1"/>
  <c r="M280" i="1"/>
  <c r="P280" i="1" s="1"/>
  <c r="K288" i="1"/>
  <c r="I364" i="1"/>
  <c r="L395" i="1"/>
  <c r="O395" i="1" s="1"/>
  <c r="M391" i="1"/>
  <c r="M389" i="1" s="1"/>
  <c r="K413" i="1"/>
  <c r="P71" i="1"/>
  <c r="J77" i="1"/>
  <c r="J65" i="1" s="1"/>
  <c r="K82" i="1"/>
  <c r="I87" i="1"/>
  <c r="K87" i="1" s="1"/>
  <c r="N121" i="1"/>
  <c r="N119" i="1" s="1"/>
  <c r="M125" i="1"/>
  <c r="P125" i="1" s="1"/>
  <c r="O127" i="1"/>
  <c r="L217" i="1"/>
  <c r="J226" i="1"/>
  <c r="J180" i="1" s="1"/>
  <c r="L230" i="1"/>
  <c r="L249" i="1"/>
  <c r="O249" i="1" s="1"/>
  <c r="M283" i="1"/>
  <c r="P283" i="1" s="1"/>
  <c r="O318" i="1"/>
  <c r="K338" i="1"/>
  <c r="O351" i="1"/>
  <c r="K359" i="1"/>
  <c r="M395" i="1"/>
  <c r="P395" i="1" s="1"/>
  <c r="L36" i="1"/>
  <c r="O36" i="1" s="1"/>
  <c r="O479" i="1"/>
  <c r="J465" i="1"/>
  <c r="K465" i="1" s="1"/>
  <c r="J679" i="1"/>
  <c r="J678" i="1" s="1"/>
  <c r="K197" i="1"/>
  <c r="N68" i="1"/>
  <c r="N66" i="1" s="1"/>
  <c r="K80" i="1"/>
  <c r="K107" i="1"/>
  <c r="K216" i="1"/>
  <c r="L317" i="1"/>
  <c r="P320" i="1"/>
  <c r="N330" i="1"/>
  <c r="N328" i="1" s="1"/>
  <c r="P353" i="1"/>
  <c r="L391" i="1"/>
  <c r="L389" i="1" s="1"/>
  <c r="J466" i="1"/>
  <c r="K466" i="1" s="1"/>
  <c r="N528" i="1"/>
  <c r="N526" i="1" s="1"/>
  <c r="K541" i="1"/>
  <c r="K643" i="1"/>
  <c r="K699" i="1"/>
  <c r="O323" i="1"/>
  <c r="N424" i="1"/>
  <c r="N422" i="1" s="1"/>
  <c r="O422" i="1" s="1"/>
  <c r="J603" i="1"/>
  <c r="M23" i="1"/>
  <c r="M21" i="1" s="1"/>
  <c r="P32" i="1"/>
  <c r="M44" i="1"/>
  <c r="P44" i="1" s="1"/>
  <c r="K78" i="1"/>
  <c r="K109" i="1"/>
  <c r="L183" i="1"/>
  <c r="J194" i="1"/>
  <c r="M279" i="1"/>
  <c r="M277" i="1" s="1"/>
  <c r="K275" i="1"/>
  <c r="P303" i="1"/>
  <c r="N300" i="1"/>
  <c r="N298" i="1" s="1"/>
  <c r="K311" i="1"/>
  <c r="M318" i="1"/>
  <c r="P318" i="1" s="1"/>
  <c r="O320" i="1"/>
  <c r="K417" i="1"/>
  <c r="K462" i="1"/>
  <c r="K495" i="1"/>
  <c r="K542" i="1"/>
  <c r="K647" i="1"/>
  <c r="P96" i="1"/>
  <c r="M94" i="1"/>
  <c r="P94" i="1" s="1"/>
  <c r="M33" i="1"/>
  <c r="M421" i="1"/>
  <c r="M419" i="1" s="1"/>
  <c r="M47" i="1"/>
  <c r="P47" i="1" s="1"/>
  <c r="J130" i="1"/>
  <c r="K130" i="1" s="1"/>
  <c r="K146" i="1"/>
  <c r="N187" i="1"/>
  <c r="N183" i="1"/>
  <c r="N181" i="1" s="1"/>
  <c r="N283" i="1"/>
  <c r="N279" i="1"/>
  <c r="N277" i="1" s="1"/>
  <c r="N321" i="1"/>
  <c r="P321" i="1" s="1"/>
  <c r="P323" i="1"/>
  <c r="K673" i="1"/>
  <c r="M26" i="1"/>
  <c r="M16" i="1" s="1"/>
  <c r="M14" i="1" s="1"/>
  <c r="N72" i="1"/>
  <c r="N91" i="1"/>
  <c r="P91" i="1" s="1"/>
  <c r="J112" i="1"/>
  <c r="P93" i="1"/>
  <c r="M90" i="1"/>
  <c r="M168" i="1"/>
  <c r="P168" i="1" s="1"/>
  <c r="M167" i="1"/>
  <c r="M165" i="1" s="1"/>
  <c r="N408" i="1"/>
  <c r="P408" i="1" s="1"/>
  <c r="N404" i="1"/>
  <c r="P410" i="1"/>
  <c r="M56" i="1"/>
  <c r="P56" i="1" s="1"/>
  <c r="M55" i="1"/>
  <c r="M53" i="1" s="1"/>
  <c r="I77" i="1"/>
  <c r="J98" i="1"/>
  <c r="J86" i="1" s="1"/>
  <c r="K86" i="1" s="1"/>
  <c r="K102" i="1"/>
  <c r="M122" i="1"/>
  <c r="P122" i="1" s="1"/>
  <c r="P124" i="1"/>
  <c r="M121" i="1"/>
  <c r="L238" i="1"/>
  <c r="L228" i="1"/>
  <c r="L231" i="1"/>
  <c r="K247" i="1"/>
  <c r="I236" i="1"/>
  <c r="L330" i="1"/>
  <c r="L328" i="1" s="1"/>
  <c r="O407" i="1"/>
  <c r="L404" i="1"/>
  <c r="L405" i="1"/>
  <c r="O405" i="1" s="1"/>
  <c r="L446" i="1"/>
  <c r="L444" i="1" s="1"/>
  <c r="O456" i="1"/>
  <c r="L454" i="1"/>
  <c r="O454" i="1" s="1"/>
  <c r="L555" i="1"/>
  <c r="O555" i="1" s="1"/>
  <c r="O557" i="1"/>
  <c r="J568" i="1"/>
  <c r="K568" i="1" s="1"/>
  <c r="K674" i="1"/>
  <c r="O44" i="1"/>
  <c r="P46" i="1"/>
  <c r="M43" i="1"/>
  <c r="O71" i="1"/>
  <c r="L69" i="1"/>
  <c r="O69" i="1" s="1"/>
  <c r="K271" i="1"/>
  <c r="I260" i="1"/>
  <c r="K260" i="1" s="1"/>
  <c r="P301" i="1"/>
  <c r="M546" i="1"/>
  <c r="M547" i="1"/>
  <c r="N43" i="1"/>
  <c r="N41" i="1" s="1"/>
  <c r="K84" i="1"/>
  <c r="O96" i="1"/>
  <c r="L90" i="1"/>
  <c r="L88" i="1" s="1"/>
  <c r="O154" i="1"/>
  <c r="L152" i="1"/>
  <c r="P306" i="1"/>
  <c r="M304" i="1"/>
  <c r="P304" i="1" s="1"/>
  <c r="O431" i="1"/>
  <c r="L421" i="1"/>
  <c r="L419" i="1" s="1"/>
  <c r="L447" i="1"/>
  <c r="K106" i="1"/>
  <c r="M134" i="1"/>
  <c r="K144" i="1"/>
  <c r="O191" i="1"/>
  <c r="K290" i="1"/>
  <c r="K310" i="1"/>
  <c r="K372" i="1"/>
  <c r="O410" i="1"/>
  <c r="K492" i="1"/>
  <c r="K538" i="1"/>
  <c r="N660" i="1"/>
  <c r="N658" i="1" s="1"/>
  <c r="O658" i="1" s="1"/>
  <c r="J675" i="1"/>
  <c r="J669" i="1" s="1"/>
  <c r="J654" i="1" s="1"/>
  <c r="J708" i="1"/>
  <c r="J722" i="1"/>
  <c r="K722" i="1" s="1"/>
  <c r="K823" i="1"/>
  <c r="K826" i="1"/>
  <c r="N198" i="1"/>
  <c r="N263" i="1"/>
  <c r="N261" i="1" s="1"/>
  <c r="M300" i="1"/>
  <c r="O348" i="1"/>
  <c r="J364" i="1"/>
  <c r="N549" i="1"/>
  <c r="N546" i="1" s="1"/>
  <c r="N544" i="1" s="1"/>
  <c r="J621" i="1"/>
  <c r="K621" i="1" s="1"/>
  <c r="K114" i="1"/>
  <c r="K118" i="1"/>
  <c r="M135" i="1"/>
  <c r="P135" i="1" s="1"/>
  <c r="N152" i="1"/>
  <c r="P154" i="1"/>
  <c r="K204" i="1"/>
  <c r="N209" i="1"/>
  <c r="K224" i="1"/>
  <c r="I233" i="1"/>
  <c r="K244" i="1"/>
  <c r="I248" i="1"/>
  <c r="K248" i="1" s="1"/>
  <c r="L279" i="1"/>
  <c r="K325" i="1"/>
  <c r="L347" i="1"/>
  <c r="P350" i="1"/>
  <c r="K355" i="1"/>
  <c r="K400" i="1"/>
  <c r="K412" i="1"/>
  <c r="I434" i="1"/>
  <c r="K440" i="1"/>
  <c r="N449" i="1"/>
  <c r="P449" i="1" s="1"/>
  <c r="K485" i="1"/>
  <c r="K489" i="1"/>
  <c r="M525" i="1"/>
  <c r="M523" i="1" s="1"/>
  <c r="J620" i="1"/>
  <c r="K620" i="1" s="1"/>
  <c r="N690" i="1"/>
  <c r="N688" i="1" s="1"/>
  <c r="K700" i="1"/>
  <c r="K723" i="1"/>
  <c r="K726" i="1"/>
  <c r="K821" i="1"/>
  <c r="K824" i="1"/>
  <c r="O124" i="1"/>
  <c r="J595" i="1"/>
  <c r="N634" i="1"/>
  <c r="P634" i="1" s="1"/>
  <c r="M69" i="1"/>
  <c r="P69" i="1" s="1"/>
  <c r="L23" i="1"/>
  <c r="L72" i="1"/>
  <c r="O72" i="1" s="1"/>
  <c r="O93" i="1"/>
  <c r="O168" i="1"/>
  <c r="O184" i="1"/>
  <c r="N217" i="1"/>
  <c r="I235" i="1"/>
  <c r="K235" i="1" s="1"/>
  <c r="N238" i="1"/>
  <c r="N249" i="1"/>
  <c r="M267" i="1"/>
  <c r="P267" i="1" s="1"/>
  <c r="K312" i="1"/>
  <c r="M317" i="1"/>
  <c r="N347" i="1"/>
  <c r="N345" i="1" s="1"/>
  <c r="K374" i="1"/>
  <c r="K435" i="1"/>
  <c r="K442" i="1"/>
  <c r="K522" i="1"/>
  <c r="K540" i="1"/>
  <c r="J596" i="1"/>
  <c r="L657" i="1"/>
  <c r="L655" i="1" s="1"/>
  <c r="K728" i="1"/>
  <c r="K822" i="1"/>
  <c r="K825" i="1"/>
  <c r="K828" i="1"/>
  <c r="O56" i="1"/>
  <c r="P59" i="1"/>
  <c r="O59" i="1"/>
  <c r="N55" i="1"/>
  <c r="I76" i="1"/>
  <c r="O61" i="1"/>
  <c r="K116" i="1"/>
  <c r="O140" i="1"/>
  <c r="L138" i="1"/>
  <c r="O138" i="1" s="1"/>
  <c r="L155" i="1"/>
  <c r="O155" i="1" s="1"/>
  <c r="N167" i="1"/>
  <c r="I164" i="1"/>
  <c r="K164" i="1" s="1"/>
  <c r="K174" i="1"/>
  <c r="O266" i="1"/>
  <c r="L264" i="1"/>
  <c r="O264" i="1" s="1"/>
  <c r="O306" i="1"/>
  <c r="L304" i="1"/>
  <c r="O304" i="1" s="1"/>
  <c r="P329" i="1"/>
  <c r="P182" i="1"/>
  <c r="K309" i="1"/>
  <c r="I297" i="1"/>
  <c r="K297" i="1" s="1"/>
  <c r="L26" i="1"/>
  <c r="M34" i="1"/>
  <c r="P34" i="1" s="1"/>
  <c r="P58" i="1"/>
  <c r="P61" i="1"/>
  <c r="O133" i="1"/>
  <c r="K148" i="1"/>
  <c r="K215" i="1"/>
  <c r="I208" i="1"/>
  <c r="K208" i="1" s="1"/>
  <c r="O269" i="1"/>
  <c r="L267" i="1"/>
  <c r="O267" i="1" s="1"/>
  <c r="I314" i="1"/>
  <c r="K314" i="1" s="1"/>
  <c r="L29" i="1"/>
  <c r="L151" i="1"/>
  <c r="L43" i="1"/>
  <c r="L12" i="1"/>
  <c r="O15" i="1"/>
  <c r="L19" i="1"/>
  <c r="O22" i="1"/>
  <c r="O35" i="1"/>
  <c r="K115" i="1"/>
  <c r="M138" i="1"/>
  <c r="P138" i="1" s="1"/>
  <c r="K145" i="1"/>
  <c r="P186" i="1"/>
  <c r="K287" i="1"/>
  <c r="M12" i="1"/>
  <c r="P15" i="1"/>
  <c r="M19" i="1"/>
  <c r="P22" i="1"/>
  <c r="N26" i="1"/>
  <c r="O46" i="1"/>
  <c r="K113" i="1"/>
  <c r="O125" i="1"/>
  <c r="K159" i="1"/>
  <c r="O282" i="1"/>
  <c r="L280" i="1"/>
  <c r="O280" i="1" s="1"/>
  <c r="P333" i="1"/>
  <c r="P336" i="1"/>
  <c r="P346" i="1"/>
  <c r="O137" i="1"/>
  <c r="L135" i="1"/>
  <c r="O135" i="1" s="1"/>
  <c r="N23" i="1"/>
  <c r="O58" i="1"/>
  <c r="N12" i="1"/>
  <c r="K111" i="1"/>
  <c r="L134" i="1"/>
  <c r="K143" i="1"/>
  <c r="I131" i="1"/>
  <c r="K131" i="1" s="1"/>
  <c r="K276" i="1"/>
  <c r="O285" i="1"/>
  <c r="L283" i="1"/>
  <c r="O283" i="1" s="1"/>
  <c r="O303" i="1"/>
  <c r="L301" i="1"/>
  <c r="O301" i="1" s="1"/>
  <c r="P133" i="1"/>
  <c r="M184" i="1"/>
  <c r="P184" i="1" s="1"/>
  <c r="M187" i="1"/>
  <c r="P187" i="1" s="1"/>
  <c r="M331" i="1"/>
  <c r="P331" i="1" s="1"/>
  <c r="M334" i="1"/>
  <c r="P334" i="1" s="1"/>
  <c r="M348" i="1"/>
  <c r="P348" i="1" s="1"/>
  <c r="M351" i="1"/>
  <c r="P351" i="1" s="1"/>
  <c r="I443" i="1"/>
  <c r="K443" i="1" s="1"/>
  <c r="L525" i="1"/>
  <c r="O535" i="1"/>
  <c r="I543" i="1"/>
  <c r="J561" i="1"/>
  <c r="K561" i="1" s="1"/>
  <c r="J583" i="1"/>
  <c r="J577" i="1" s="1"/>
  <c r="K577" i="1" s="1"/>
  <c r="P739" i="1"/>
  <c r="M737" i="1"/>
  <c r="P737" i="1" s="1"/>
  <c r="K438" i="1"/>
  <c r="K460" i="1"/>
  <c r="K498" i="1"/>
  <c r="L502" i="1"/>
  <c r="O502" i="1" s="1"/>
  <c r="L533" i="1"/>
  <c r="O533" i="1" s="1"/>
  <c r="L547" i="1"/>
  <c r="L639" i="1"/>
  <c r="O639" i="1" s="1"/>
  <c r="L631" i="1"/>
  <c r="K644" i="1"/>
  <c r="O738" i="1"/>
  <c r="L737" i="1"/>
  <c r="O737" i="1" s="1"/>
  <c r="O468" i="1"/>
  <c r="K725" i="1"/>
  <c r="P756" i="1"/>
  <c r="M754" i="1"/>
  <c r="P754" i="1" s="1"/>
  <c r="L788" i="1"/>
  <c r="P806" i="1"/>
  <c r="M805" i="1"/>
  <c r="P805" i="1" s="1"/>
  <c r="K827" i="1"/>
  <c r="P170" i="1"/>
  <c r="P173" i="1"/>
  <c r="K176" i="1"/>
  <c r="O186" i="1"/>
  <c r="O189" i="1"/>
  <c r="O333" i="1"/>
  <c r="O336" i="1"/>
  <c r="O350" i="1"/>
  <c r="O353" i="1"/>
  <c r="K365" i="1"/>
  <c r="K379" i="1"/>
  <c r="N391" i="1"/>
  <c r="P397" i="1"/>
  <c r="I401" i="1"/>
  <c r="K401" i="1" s="1"/>
  <c r="M467" i="1"/>
  <c r="M470" i="1"/>
  <c r="N472" i="1"/>
  <c r="O472" i="1" s="1"/>
  <c r="M658" i="1"/>
  <c r="N740" i="1"/>
  <c r="O755" i="1"/>
  <c r="L754" i="1"/>
  <c r="O754" i="1" s="1"/>
  <c r="K433" i="1"/>
  <c r="P503" i="1"/>
  <c r="M502" i="1"/>
  <c r="P502" i="1" s="1"/>
  <c r="K537" i="1"/>
  <c r="P545" i="1"/>
  <c r="J569" i="1"/>
  <c r="K569" i="1" s="1"/>
  <c r="O686" i="1"/>
  <c r="P772" i="1"/>
  <c r="M770" i="1"/>
  <c r="P770" i="1" s="1"/>
  <c r="I785" i="1"/>
  <c r="K785" i="1" s="1"/>
  <c r="M422" i="1"/>
  <c r="N502" i="1"/>
  <c r="L546" i="1"/>
  <c r="J582" i="1"/>
  <c r="J576" i="1" s="1"/>
  <c r="K649" i="1"/>
  <c r="P656" i="1"/>
  <c r="M655" i="1"/>
  <c r="N757" i="1"/>
  <c r="O771" i="1"/>
  <c r="L770" i="1"/>
  <c r="O770" i="1" s="1"/>
  <c r="L789" i="1"/>
  <c r="O789" i="1" s="1"/>
  <c r="N791" i="1"/>
  <c r="J721" i="1"/>
  <c r="K721" i="1" s="1"/>
  <c r="K672" i="1"/>
  <c r="I654" i="1"/>
  <c r="J522" i="13" l="1"/>
  <c r="K522" i="13" s="1"/>
  <c r="L277" i="13"/>
  <c r="O277" i="13" s="1"/>
  <c r="P348" i="11"/>
  <c r="L786" i="14"/>
  <c r="O786" i="14" s="1"/>
  <c r="L277" i="8"/>
  <c r="O277" i="8" s="1"/>
  <c r="O300" i="3"/>
  <c r="L389" i="14"/>
  <c r="O389" i="14" s="1"/>
  <c r="O263" i="8"/>
  <c r="L786" i="13"/>
  <c r="O786" i="13" s="1"/>
  <c r="K77" i="14"/>
  <c r="M421" i="8"/>
  <c r="P421" i="8" s="1"/>
  <c r="L629" i="12"/>
  <c r="O629" i="12" s="1"/>
  <c r="M422" i="8"/>
  <c r="P422" i="8" s="1"/>
  <c r="P298" i="5"/>
  <c r="M402" i="9"/>
  <c r="P402" i="9" s="1"/>
  <c r="O55" i="10"/>
  <c r="O404" i="14"/>
  <c r="L629" i="15"/>
  <c r="O629" i="15" s="1"/>
  <c r="O300" i="5"/>
  <c r="O263" i="12"/>
  <c r="P263" i="12"/>
  <c r="O631" i="13"/>
  <c r="O151" i="15"/>
  <c r="O184" i="12"/>
  <c r="L389" i="12"/>
  <c r="O389" i="12" s="1"/>
  <c r="P347" i="8"/>
  <c r="O167" i="14"/>
  <c r="P330" i="12"/>
  <c r="M132" i="11"/>
  <c r="P132" i="11" s="1"/>
  <c r="O328" i="12"/>
  <c r="L419" i="13"/>
  <c r="O419" i="13" s="1"/>
  <c r="O263" i="14"/>
  <c r="M547" i="15"/>
  <c r="P547" i="15" s="1"/>
  <c r="P149" i="15"/>
  <c r="O134" i="5"/>
  <c r="O632" i="13"/>
  <c r="O300" i="15"/>
  <c r="P149" i="14"/>
  <c r="O447" i="15"/>
  <c r="P261" i="15"/>
  <c r="P300" i="15"/>
  <c r="L389" i="15"/>
  <c r="O389" i="15" s="1"/>
  <c r="P151" i="15"/>
  <c r="O404" i="15"/>
  <c r="P43" i="13"/>
  <c r="L119" i="14"/>
  <c r="O119" i="14" s="1"/>
  <c r="P23" i="15"/>
  <c r="P263" i="15"/>
  <c r="K364" i="15"/>
  <c r="P55" i="15"/>
  <c r="L467" i="13"/>
  <c r="O467" i="13" s="1"/>
  <c r="K364" i="13"/>
  <c r="M315" i="14"/>
  <c r="P315" i="14" s="1"/>
  <c r="M421" i="7"/>
  <c r="P421" i="7" s="1"/>
  <c r="O300" i="9"/>
  <c r="L629" i="14"/>
  <c r="O629" i="14" s="1"/>
  <c r="P347" i="15"/>
  <c r="M16" i="15"/>
  <c r="M14" i="15" s="1"/>
  <c r="P330" i="8"/>
  <c r="M389" i="13"/>
  <c r="P389" i="13" s="1"/>
  <c r="K434" i="14"/>
  <c r="O347" i="15"/>
  <c r="O345" i="15"/>
  <c r="P345" i="11"/>
  <c r="M132" i="14"/>
  <c r="P132" i="14" s="1"/>
  <c r="K77" i="7"/>
  <c r="I64" i="15"/>
  <c r="K64" i="15" s="1"/>
  <c r="K417" i="14"/>
  <c r="P348" i="15"/>
  <c r="O90" i="14"/>
  <c r="O345" i="14"/>
  <c r="P279" i="15"/>
  <c r="O41" i="14"/>
  <c r="O279" i="15"/>
  <c r="O88" i="9"/>
  <c r="O261" i="10"/>
  <c r="P183" i="13"/>
  <c r="L132" i="14"/>
  <c r="O132" i="14" s="1"/>
  <c r="L149" i="14"/>
  <c r="O149" i="14" s="1"/>
  <c r="P330" i="14"/>
  <c r="K77" i="15"/>
  <c r="O263" i="15"/>
  <c r="P26" i="15"/>
  <c r="P298" i="9"/>
  <c r="K537" i="15"/>
  <c r="O298" i="15"/>
  <c r="P53" i="10"/>
  <c r="O330" i="13"/>
  <c r="P43" i="14"/>
  <c r="O347" i="14"/>
  <c r="I64" i="14"/>
  <c r="K64" i="14" s="1"/>
  <c r="O43" i="15"/>
  <c r="M419" i="13"/>
  <c r="P419" i="13" s="1"/>
  <c r="O328" i="14"/>
  <c r="M469" i="11"/>
  <c r="P469" i="11" s="1"/>
  <c r="P167" i="13"/>
  <c r="P549" i="15"/>
  <c r="O470" i="15"/>
  <c r="L786" i="15"/>
  <c r="O786" i="15" s="1"/>
  <c r="M298" i="15"/>
  <c r="P298" i="15" s="1"/>
  <c r="O90" i="15"/>
  <c r="K364" i="9"/>
  <c r="O469" i="15"/>
  <c r="M20" i="15"/>
  <c r="M18" i="15" s="1"/>
  <c r="I164" i="13"/>
  <c r="K164" i="13" s="1"/>
  <c r="O134" i="13"/>
  <c r="M33" i="14"/>
  <c r="M31" i="14" s="1"/>
  <c r="P31" i="14" s="1"/>
  <c r="O467" i="15"/>
  <c r="L261" i="15"/>
  <c r="O261" i="15" s="1"/>
  <c r="P41" i="15"/>
  <c r="O277" i="15"/>
  <c r="M315" i="6"/>
  <c r="P315" i="6" s="1"/>
  <c r="P634" i="12"/>
  <c r="P631" i="12"/>
  <c r="P53" i="11"/>
  <c r="M422" i="14"/>
  <c r="P422" i="14" s="1"/>
  <c r="I65" i="8"/>
  <c r="K65" i="8" s="1"/>
  <c r="O328" i="8"/>
  <c r="P23" i="12"/>
  <c r="O55" i="11"/>
  <c r="P55" i="11"/>
  <c r="N328" i="13"/>
  <c r="O328" i="13" s="1"/>
  <c r="O330" i="14"/>
  <c r="O546" i="15"/>
  <c r="M277" i="15"/>
  <c r="P277" i="15" s="1"/>
  <c r="O88" i="15"/>
  <c r="P134" i="15"/>
  <c r="O36" i="15"/>
  <c r="M422" i="7"/>
  <c r="P422" i="7" s="1"/>
  <c r="O345" i="10"/>
  <c r="K174" i="10"/>
  <c r="L402" i="12"/>
  <c r="O402" i="12" s="1"/>
  <c r="L419" i="12"/>
  <c r="O419" i="12" s="1"/>
  <c r="P424" i="14"/>
  <c r="O446" i="15"/>
  <c r="O300" i="8"/>
  <c r="P43" i="9"/>
  <c r="M526" i="13"/>
  <c r="P526" i="13" s="1"/>
  <c r="L31" i="13"/>
  <c r="O31" i="13" s="1"/>
  <c r="M345" i="15"/>
  <c r="P345" i="15" s="1"/>
  <c r="M33" i="15"/>
  <c r="M421" i="15"/>
  <c r="M132" i="15"/>
  <c r="P132" i="15" s="1"/>
  <c r="L655" i="15"/>
  <c r="O655" i="15" s="1"/>
  <c r="L31" i="15"/>
  <c r="O31" i="15" s="1"/>
  <c r="L30" i="15"/>
  <c r="O30" i="15" s="1"/>
  <c r="O33" i="15"/>
  <c r="P404" i="15"/>
  <c r="M402" i="15"/>
  <c r="P402" i="15" s="1"/>
  <c r="P43" i="15"/>
  <c r="P424" i="15"/>
  <c r="O55" i="15"/>
  <c r="P55" i="5"/>
  <c r="O263" i="10"/>
  <c r="M298" i="11"/>
  <c r="P298" i="11" s="1"/>
  <c r="L149" i="11"/>
  <c r="O149" i="11" s="1"/>
  <c r="L261" i="12"/>
  <c r="O261" i="12" s="1"/>
  <c r="L402" i="13"/>
  <c r="O402" i="13" s="1"/>
  <c r="M525" i="13"/>
  <c r="P525" i="13" s="1"/>
  <c r="L685" i="15"/>
  <c r="O685" i="15" s="1"/>
  <c r="L149" i="15"/>
  <c r="O149" i="15" s="1"/>
  <c r="M119" i="15"/>
  <c r="P119" i="15" s="1"/>
  <c r="P121" i="15"/>
  <c r="P424" i="13"/>
  <c r="P181" i="14"/>
  <c r="L31" i="14"/>
  <c r="O31" i="14" s="1"/>
  <c r="M422" i="13"/>
  <c r="P422" i="13" s="1"/>
  <c r="K174" i="14"/>
  <c r="M422" i="15"/>
  <c r="P422" i="15" s="1"/>
  <c r="L119" i="15"/>
  <c r="O119" i="15" s="1"/>
  <c r="L24" i="15"/>
  <c r="O24" i="15" s="1"/>
  <c r="L16" i="15"/>
  <c r="L14" i="15" s="1"/>
  <c r="O165" i="15"/>
  <c r="P165" i="15"/>
  <c r="L389" i="10"/>
  <c r="O389" i="10" s="1"/>
  <c r="O351" i="11"/>
  <c r="P26" i="12"/>
  <c r="K364" i="12"/>
  <c r="P351" i="13"/>
  <c r="P328" i="14"/>
  <c r="O55" i="14"/>
  <c r="K433" i="14"/>
  <c r="P545" i="15"/>
  <c r="M544" i="15"/>
  <c r="P544" i="15" s="1"/>
  <c r="L419" i="15"/>
  <c r="P470" i="15"/>
  <c r="O132" i="15"/>
  <c r="O68" i="14"/>
  <c r="L66" i="14"/>
  <c r="O66" i="14" s="1"/>
  <c r="O134" i="15"/>
  <c r="M53" i="15"/>
  <c r="N20" i="15"/>
  <c r="N13" i="15"/>
  <c r="N21" i="15"/>
  <c r="O21" i="15" s="1"/>
  <c r="P44" i="15"/>
  <c r="L402" i="9"/>
  <c r="O402" i="9" s="1"/>
  <c r="P660" i="13"/>
  <c r="P469" i="15"/>
  <c r="M467" i="15"/>
  <c r="P467" i="15" s="1"/>
  <c r="I131" i="15"/>
  <c r="K131" i="15" s="1"/>
  <c r="K143" i="15"/>
  <c r="O317" i="15"/>
  <c r="N315" i="15"/>
  <c r="P315" i="15" s="1"/>
  <c r="O183" i="15"/>
  <c r="N181" i="15"/>
  <c r="O181" i="15" s="1"/>
  <c r="O29" i="15"/>
  <c r="P525" i="15"/>
  <c r="M523" i="15"/>
  <c r="P523" i="15" s="1"/>
  <c r="P330" i="15"/>
  <c r="O167" i="15"/>
  <c r="P167" i="15"/>
  <c r="P317" i="15"/>
  <c r="L13" i="13"/>
  <c r="L11" i="13" s="1"/>
  <c r="P631" i="13"/>
  <c r="P263" i="14"/>
  <c r="M444" i="15"/>
  <c r="P328" i="15"/>
  <c r="O330" i="15"/>
  <c r="L328" i="15"/>
  <c r="O328" i="15" s="1"/>
  <c r="L9" i="15"/>
  <c r="O12" i="15"/>
  <c r="K433" i="15"/>
  <c r="O300" i="14"/>
  <c r="L298" i="14"/>
  <c r="O298" i="14" s="1"/>
  <c r="M16" i="12"/>
  <c r="M14" i="12" s="1"/>
  <c r="O347" i="12"/>
  <c r="P24" i="12"/>
  <c r="O345" i="13"/>
  <c r="P331" i="14"/>
  <c r="N261" i="14"/>
  <c r="O261" i="14" s="1"/>
  <c r="N414" i="15"/>
  <c r="O68" i="15"/>
  <c r="N66" i="15"/>
  <c r="O66" i="15" s="1"/>
  <c r="P68" i="15"/>
  <c r="O23" i="15"/>
  <c r="L20" i="15"/>
  <c r="L13" i="15"/>
  <c r="K417" i="15"/>
  <c r="P183" i="15"/>
  <c r="P90" i="15"/>
  <c r="M88" i="15"/>
  <c r="P88" i="15" s="1"/>
  <c r="P24" i="15"/>
  <c r="P263" i="13"/>
  <c r="L523" i="15"/>
  <c r="O523" i="15" s="1"/>
  <c r="K434" i="15"/>
  <c r="I418" i="15"/>
  <c r="K418" i="15" s="1"/>
  <c r="M389" i="15"/>
  <c r="P389" i="15" s="1"/>
  <c r="K237" i="15"/>
  <c r="I226" i="15"/>
  <c r="O53" i="15"/>
  <c r="M9" i="15"/>
  <c r="P12" i="15"/>
  <c r="O238" i="15"/>
  <c r="L227" i="15"/>
  <c r="N16" i="15"/>
  <c r="O26" i="15"/>
  <c r="P56" i="15"/>
  <c r="O41" i="15"/>
  <c r="O168" i="13"/>
  <c r="P55" i="14"/>
  <c r="O43" i="14"/>
  <c r="O167" i="12"/>
  <c r="M41" i="14"/>
  <c r="P41" i="14" s="1"/>
  <c r="L227" i="14"/>
  <c r="P347" i="13"/>
  <c r="O657" i="14"/>
  <c r="L655" i="14"/>
  <c r="O655" i="14" s="1"/>
  <c r="L685" i="14"/>
  <c r="O685" i="14" s="1"/>
  <c r="P183" i="14"/>
  <c r="P404" i="14"/>
  <c r="M402" i="14"/>
  <c r="P402" i="14" s="1"/>
  <c r="O90" i="11"/>
  <c r="P55" i="12"/>
  <c r="L277" i="14"/>
  <c r="O277" i="14" s="1"/>
  <c r="O279" i="14"/>
  <c r="O347" i="8"/>
  <c r="O345" i="8"/>
  <c r="L20" i="12"/>
  <c r="L18" i="12" s="1"/>
  <c r="N345" i="12"/>
  <c r="O345" i="12" s="1"/>
  <c r="M345" i="13"/>
  <c r="P345" i="13" s="1"/>
  <c r="I226" i="14"/>
  <c r="K417" i="11"/>
  <c r="P424" i="12"/>
  <c r="O351" i="14"/>
  <c r="P53" i="14"/>
  <c r="P264" i="14"/>
  <c r="O525" i="14"/>
  <c r="L523" i="14"/>
  <c r="O523" i="14" s="1"/>
  <c r="L315" i="9"/>
  <c r="O315" i="9" s="1"/>
  <c r="P347" i="11"/>
  <c r="P334" i="12"/>
  <c r="L34" i="12"/>
  <c r="O34" i="12" s="1"/>
  <c r="M658" i="13"/>
  <c r="P658" i="13" s="1"/>
  <c r="O183" i="13"/>
  <c r="P168" i="13"/>
  <c r="O90" i="13"/>
  <c r="M277" i="13"/>
  <c r="P277" i="13" s="1"/>
  <c r="P167" i="14"/>
  <c r="M470" i="14"/>
  <c r="P470" i="14" s="1"/>
  <c r="P472" i="14"/>
  <c r="M469" i="14"/>
  <c r="L315" i="14"/>
  <c r="O315" i="14" s="1"/>
  <c r="O317" i="14"/>
  <c r="L402" i="8"/>
  <c r="O402" i="8" s="1"/>
  <c r="O347" i="11"/>
  <c r="L315" i="12"/>
  <c r="O315" i="12" s="1"/>
  <c r="L13" i="12"/>
  <c r="L11" i="12" s="1"/>
  <c r="L523" i="13"/>
  <c r="O523" i="13" s="1"/>
  <c r="P300" i="13"/>
  <c r="M119" i="14"/>
  <c r="P119" i="14" s="1"/>
  <c r="P151" i="14"/>
  <c r="O53" i="14"/>
  <c r="P90" i="14"/>
  <c r="M88" i="14"/>
  <c r="P88" i="14" s="1"/>
  <c r="P279" i="14"/>
  <c r="M277" i="14"/>
  <c r="P277" i="14" s="1"/>
  <c r="P348" i="8"/>
  <c r="M132" i="12"/>
  <c r="P132" i="12" s="1"/>
  <c r="N16" i="12"/>
  <c r="N14" i="12" s="1"/>
  <c r="I64" i="13"/>
  <c r="K64" i="13" s="1"/>
  <c r="L30" i="13"/>
  <c r="M402" i="13"/>
  <c r="P402" i="13" s="1"/>
  <c r="N16" i="14"/>
  <c r="N14" i="14" s="1"/>
  <c r="N24" i="14"/>
  <c r="O24" i="14" s="1"/>
  <c r="J364" i="14"/>
  <c r="K364" i="14" s="1"/>
  <c r="K365" i="14"/>
  <c r="M298" i="14"/>
  <c r="P298" i="14" s="1"/>
  <c r="N165" i="14"/>
  <c r="O165" i="14" s="1"/>
  <c r="O29" i="14"/>
  <c r="O88" i="14"/>
  <c r="P29" i="14"/>
  <c r="P391" i="14"/>
  <c r="M389" i="14"/>
  <c r="P389" i="14" s="1"/>
  <c r="M24" i="14"/>
  <c r="P26" i="14"/>
  <c r="M16" i="14"/>
  <c r="P301" i="13"/>
  <c r="O347" i="13"/>
  <c r="O446" i="14"/>
  <c r="L444" i="14"/>
  <c r="O444" i="14" s="1"/>
  <c r="N414" i="14"/>
  <c r="L30" i="14"/>
  <c r="O30" i="14" s="1"/>
  <c r="O36" i="14"/>
  <c r="L13" i="14"/>
  <c r="L11" i="14" s="1"/>
  <c r="O23" i="14"/>
  <c r="L20" i="14"/>
  <c r="P549" i="10"/>
  <c r="L53" i="11"/>
  <c r="O53" i="11" s="1"/>
  <c r="P347" i="12"/>
  <c r="O19" i="14"/>
  <c r="M21" i="14"/>
  <c r="P23" i="14"/>
  <c r="M20" i="14"/>
  <c r="N20" i="14"/>
  <c r="N18" i="14" s="1"/>
  <c r="N21" i="14"/>
  <c r="N13" i="14"/>
  <c r="N11" i="14" s="1"/>
  <c r="L16" i="14"/>
  <c r="P419" i="14"/>
  <c r="O26" i="14"/>
  <c r="M546" i="10"/>
  <c r="P546" i="10" s="1"/>
  <c r="O121" i="12"/>
  <c r="L655" i="13"/>
  <c r="O655" i="13" s="1"/>
  <c r="P23" i="13"/>
  <c r="L20" i="13"/>
  <c r="L18" i="13" s="1"/>
  <c r="O12" i="14"/>
  <c r="L9" i="14"/>
  <c r="L181" i="14"/>
  <c r="O181" i="14" s="1"/>
  <c r="O183" i="14"/>
  <c r="P9" i="14"/>
  <c r="L21" i="14"/>
  <c r="O546" i="14"/>
  <c r="L544" i="14"/>
  <c r="O544" i="14" s="1"/>
  <c r="N9" i="14"/>
  <c r="P421" i="14"/>
  <c r="M66" i="14"/>
  <c r="P66" i="14" s="1"/>
  <c r="P183" i="12"/>
  <c r="O183" i="12"/>
  <c r="O469" i="14"/>
  <c r="L467" i="14"/>
  <c r="O467" i="14" s="1"/>
  <c r="O419" i="14"/>
  <c r="O15" i="14"/>
  <c r="P549" i="14"/>
  <c r="M546" i="14"/>
  <c r="M547" i="14"/>
  <c r="P547" i="14" s="1"/>
  <c r="O421" i="14"/>
  <c r="P347" i="14"/>
  <c r="M345" i="14"/>
  <c r="P345" i="14" s="1"/>
  <c r="O88" i="6"/>
  <c r="P41" i="11"/>
  <c r="L544" i="12"/>
  <c r="O544" i="12" s="1"/>
  <c r="L389" i="13"/>
  <c r="O389" i="13" s="1"/>
  <c r="N88" i="13"/>
  <c r="P88" i="13" s="1"/>
  <c r="O23" i="13"/>
  <c r="O43" i="13"/>
  <c r="N181" i="13"/>
  <c r="O181" i="13" s="1"/>
  <c r="O151" i="13"/>
  <c r="L149" i="13"/>
  <c r="O149" i="13" s="1"/>
  <c r="O183" i="2"/>
  <c r="P88" i="6"/>
  <c r="O26" i="11"/>
  <c r="M632" i="12"/>
  <c r="P632" i="12" s="1"/>
  <c r="M66" i="12"/>
  <c r="P66" i="12" s="1"/>
  <c r="L298" i="12"/>
  <c r="O298" i="12" s="1"/>
  <c r="M261" i="12"/>
  <c r="P261" i="12" s="1"/>
  <c r="M119" i="13"/>
  <c r="P119" i="13" s="1"/>
  <c r="M21" i="13"/>
  <c r="P21" i="13" s="1"/>
  <c r="K77" i="13"/>
  <c r="O657" i="12"/>
  <c r="L655" i="12"/>
  <c r="O655" i="12" s="1"/>
  <c r="M655" i="13"/>
  <c r="P655" i="13" s="1"/>
  <c r="P317" i="13"/>
  <c r="M315" i="13"/>
  <c r="P315" i="13" s="1"/>
  <c r="O56" i="13"/>
  <c r="L277" i="12"/>
  <c r="O277" i="12" s="1"/>
  <c r="N165" i="13"/>
  <c r="P165" i="13" s="1"/>
  <c r="O36" i="13"/>
  <c r="L34" i="13"/>
  <c r="O34" i="13" s="1"/>
  <c r="O300" i="13"/>
  <c r="L298" i="13"/>
  <c r="O298" i="13" s="1"/>
  <c r="L13" i="6"/>
  <c r="L11" i="6" s="1"/>
  <c r="P90" i="6"/>
  <c r="L786" i="11"/>
  <c r="O786" i="11" s="1"/>
  <c r="N24" i="11"/>
  <c r="M41" i="13"/>
  <c r="P41" i="13" s="1"/>
  <c r="O68" i="13"/>
  <c r="L66" i="13"/>
  <c r="O66" i="13" s="1"/>
  <c r="O121" i="13"/>
  <c r="L119" i="13"/>
  <c r="O119" i="13" s="1"/>
  <c r="N13" i="11"/>
  <c r="N10" i="11" s="1"/>
  <c r="N14" i="11"/>
  <c r="L181" i="12"/>
  <c r="O181" i="12" s="1"/>
  <c r="L132" i="12"/>
  <c r="O132" i="12" s="1"/>
  <c r="O90" i="6"/>
  <c r="P168" i="11"/>
  <c r="P43" i="12"/>
  <c r="O55" i="12"/>
  <c r="K417" i="13"/>
  <c r="P19" i="13"/>
  <c r="L16" i="13"/>
  <c r="O26" i="13"/>
  <c r="N20" i="13"/>
  <c r="N18" i="13" s="1"/>
  <c r="N13" i="13"/>
  <c r="M66" i="13"/>
  <c r="P66" i="13" s="1"/>
  <c r="O238" i="13"/>
  <c r="L227" i="13"/>
  <c r="N16" i="13"/>
  <c r="N14" i="13" s="1"/>
  <c r="N24" i="13"/>
  <c r="M20" i="12"/>
  <c r="M18" i="12" s="1"/>
  <c r="L685" i="13"/>
  <c r="O685" i="13" s="1"/>
  <c r="P12" i="13"/>
  <c r="M9" i="13"/>
  <c r="P545" i="13"/>
  <c r="I418" i="13"/>
  <c r="K418" i="13" s="1"/>
  <c r="K434" i="13"/>
  <c r="L315" i="13"/>
  <c r="O315" i="13" s="1"/>
  <c r="O317" i="13"/>
  <c r="N261" i="13"/>
  <c r="O261" i="13" s="1"/>
  <c r="O263" i="13"/>
  <c r="M24" i="13"/>
  <c r="M16" i="13"/>
  <c r="P26" i="13"/>
  <c r="K131" i="13"/>
  <c r="M261" i="13"/>
  <c r="O21" i="13"/>
  <c r="M469" i="13"/>
  <c r="M470" i="13"/>
  <c r="P470" i="13" s="1"/>
  <c r="P472" i="13"/>
  <c r="P632" i="13"/>
  <c r="O41" i="13"/>
  <c r="P59" i="13"/>
  <c r="O12" i="13"/>
  <c r="L9" i="13"/>
  <c r="M328" i="13"/>
  <c r="P330" i="13"/>
  <c r="O546" i="13"/>
  <c r="L544" i="13"/>
  <c r="O544" i="13" s="1"/>
  <c r="I226" i="13"/>
  <c r="K237" i="13"/>
  <c r="K433" i="13"/>
  <c r="P449" i="13"/>
  <c r="M446" i="13"/>
  <c r="M447" i="13"/>
  <c r="P447" i="13" s="1"/>
  <c r="M33" i="13"/>
  <c r="M298" i="13"/>
  <c r="P298" i="13" s="1"/>
  <c r="P132" i="13"/>
  <c r="O132" i="13"/>
  <c r="P91" i="13"/>
  <c r="P134" i="13"/>
  <c r="K143" i="13"/>
  <c r="O19" i="13"/>
  <c r="O56" i="12"/>
  <c r="P549" i="13"/>
  <c r="M546" i="13"/>
  <c r="P546" i="13" s="1"/>
  <c r="M547" i="13"/>
  <c r="P547" i="13" s="1"/>
  <c r="M149" i="13"/>
  <c r="P149" i="13" s="1"/>
  <c r="P90" i="13"/>
  <c r="M20" i="13"/>
  <c r="M18" i="13" s="1"/>
  <c r="O167" i="13"/>
  <c r="L165" i="13"/>
  <c r="O55" i="13"/>
  <c r="N53" i="13"/>
  <c r="P55" i="13"/>
  <c r="L24" i="13"/>
  <c r="K559" i="13"/>
  <c r="I543" i="13"/>
  <c r="K543" i="13" s="1"/>
  <c r="K77" i="10"/>
  <c r="O347" i="10"/>
  <c r="O328" i="10"/>
  <c r="O631" i="11"/>
  <c r="O351" i="12"/>
  <c r="P151" i="11"/>
  <c r="M149" i="11"/>
  <c r="P149" i="11" s="1"/>
  <c r="L30" i="12"/>
  <c r="O30" i="12" s="1"/>
  <c r="O33" i="12"/>
  <c r="L31" i="12"/>
  <c r="O31" i="12" s="1"/>
  <c r="P53" i="9"/>
  <c r="L13" i="11"/>
  <c r="L315" i="11"/>
  <c r="O315" i="11" s="1"/>
  <c r="P90" i="11"/>
  <c r="M422" i="12"/>
  <c r="P422" i="12" s="1"/>
  <c r="M419" i="12"/>
  <c r="P419" i="12" s="1"/>
  <c r="L149" i="12"/>
  <c r="O149" i="12" s="1"/>
  <c r="O264" i="10"/>
  <c r="I226" i="12"/>
  <c r="K226" i="12" s="1"/>
  <c r="O68" i="11"/>
  <c r="L66" i="11"/>
  <c r="O66" i="11" s="1"/>
  <c r="P263" i="10"/>
  <c r="L685" i="11"/>
  <c r="O685" i="11" s="1"/>
  <c r="K433" i="11"/>
  <c r="L786" i="12"/>
  <c r="O786" i="12" s="1"/>
  <c r="O165" i="12"/>
  <c r="P184" i="12"/>
  <c r="O90" i="12"/>
  <c r="M328" i="12"/>
  <c r="P328" i="12" s="1"/>
  <c r="P687" i="7"/>
  <c r="P66" i="9"/>
  <c r="M402" i="11"/>
  <c r="P402" i="11" s="1"/>
  <c r="P181" i="12"/>
  <c r="N41" i="12"/>
  <c r="P41" i="12" s="1"/>
  <c r="P300" i="12"/>
  <c r="M298" i="12"/>
  <c r="P298" i="12" s="1"/>
  <c r="M277" i="5"/>
  <c r="P277" i="5" s="1"/>
  <c r="L315" i="7"/>
  <c r="O315" i="7" s="1"/>
  <c r="L119" i="8"/>
  <c r="O119" i="8" s="1"/>
  <c r="P55" i="10"/>
  <c r="O181" i="11"/>
  <c r="P391" i="11"/>
  <c r="L34" i="11"/>
  <c r="O34" i="11" s="1"/>
  <c r="O165" i="11"/>
  <c r="O43" i="12"/>
  <c r="P121" i="12"/>
  <c r="M119" i="12"/>
  <c r="P119" i="12" s="1"/>
  <c r="O330" i="12"/>
  <c r="O263" i="6"/>
  <c r="L419" i="9"/>
  <c r="O419" i="9" s="1"/>
  <c r="M419" i="9"/>
  <c r="P419" i="9" s="1"/>
  <c r="K433" i="10"/>
  <c r="I131" i="11"/>
  <c r="K131" i="11" s="1"/>
  <c r="O53" i="12"/>
  <c r="P549" i="12"/>
  <c r="M546" i="12"/>
  <c r="P317" i="12"/>
  <c r="M315" i="12"/>
  <c r="P315" i="12" s="1"/>
  <c r="M277" i="12"/>
  <c r="P277" i="12" s="1"/>
  <c r="P151" i="12"/>
  <c r="M149" i="12"/>
  <c r="P149" i="12" s="1"/>
  <c r="L88" i="12"/>
  <c r="O88" i="12" s="1"/>
  <c r="P424" i="9"/>
  <c r="P43" i="10"/>
  <c r="L298" i="10"/>
  <c r="O298" i="10" s="1"/>
  <c r="L227" i="11"/>
  <c r="P53" i="12"/>
  <c r="K559" i="12"/>
  <c r="I543" i="12"/>
  <c r="K543" i="12" s="1"/>
  <c r="P263" i="6"/>
  <c r="P263" i="11"/>
  <c r="O446" i="12"/>
  <c r="L444" i="12"/>
  <c r="O444" i="12" s="1"/>
  <c r="L132" i="8"/>
  <c r="O132" i="8" s="1"/>
  <c r="O55" i="9"/>
  <c r="I418" i="11"/>
  <c r="K418" i="11" s="1"/>
  <c r="P43" i="11"/>
  <c r="P183" i="11"/>
  <c r="M446" i="12"/>
  <c r="M447" i="12"/>
  <c r="P447" i="12" s="1"/>
  <c r="P449" i="12"/>
  <c r="M33" i="12"/>
  <c r="O331" i="12"/>
  <c r="L24" i="12"/>
  <c r="O24" i="12" s="1"/>
  <c r="L16" i="12"/>
  <c r="O26" i="12"/>
  <c r="P9" i="12"/>
  <c r="M345" i="12"/>
  <c r="L66" i="12"/>
  <c r="O66" i="12" s="1"/>
  <c r="O68" i="12"/>
  <c r="O29" i="12"/>
  <c r="L685" i="12"/>
  <c r="O685" i="12" s="1"/>
  <c r="L389" i="11"/>
  <c r="O389" i="11" s="1"/>
  <c r="I131" i="12"/>
  <c r="K131" i="12" s="1"/>
  <c r="K143" i="12"/>
  <c r="K434" i="12"/>
  <c r="I418" i="12"/>
  <c r="K418" i="12" s="1"/>
  <c r="L9" i="12"/>
  <c r="O12" i="12"/>
  <c r="N20" i="12"/>
  <c r="N13" i="12"/>
  <c r="N21" i="12"/>
  <c r="O21" i="12" s="1"/>
  <c r="M66" i="8"/>
  <c r="P66" i="8" s="1"/>
  <c r="L629" i="10"/>
  <c r="O629" i="10" s="1"/>
  <c r="O168" i="11"/>
  <c r="L132" i="11"/>
  <c r="O132" i="11" s="1"/>
  <c r="P470" i="12"/>
  <c r="M402" i="12"/>
  <c r="P402" i="12" s="1"/>
  <c r="L523" i="12"/>
  <c r="O523" i="12" s="1"/>
  <c r="P167" i="12"/>
  <c r="M165" i="12"/>
  <c r="P165" i="12" s="1"/>
  <c r="O238" i="12"/>
  <c r="L227" i="12"/>
  <c r="M88" i="12"/>
  <c r="P88" i="12" s="1"/>
  <c r="P90" i="12"/>
  <c r="O469" i="12"/>
  <c r="N414" i="12"/>
  <c r="L419" i="10"/>
  <c r="O419" i="10" s="1"/>
  <c r="O23" i="11"/>
  <c r="I417" i="12"/>
  <c r="K417" i="12" s="1"/>
  <c r="K433" i="12"/>
  <c r="M467" i="12"/>
  <c r="P467" i="12" s="1"/>
  <c r="P391" i="12"/>
  <c r="M389" i="12"/>
  <c r="P389" i="12" s="1"/>
  <c r="K76" i="12"/>
  <c r="I64" i="12"/>
  <c r="K64" i="12" s="1"/>
  <c r="L402" i="11"/>
  <c r="O402" i="11" s="1"/>
  <c r="O404" i="11"/>
  <c r="O348" i="8"/>
  <c r="L66" i="10"/>
  <c r="O66" i="10" s="1"/>
  <c r="K143" i="10"/>
  <c r="O348" i="11"/>
  <c r="P165" i="11"/>
  <c r="O167" i="11"/>
  <c r="I64" i="11"/>
  <c r="K64" i="11" s="1"/>
  <c r="O470" i="12"/>
  <c r="O467" i="12"/>
  <c r="I65" i="12"/>
  <c r="K65" i="12" s="1"/>
  <c r="K77" i="12"/>
  <c r="O23" i="12"/>
  <c r="O43" i="6"/>
  <c r="L149" i="7"/>
  <c r="O149" i="7" s="1"/>
  <c r="M328" i="8"/>
  <c r="P328" i="8" s="1"/>
  <c r="L389" i="8"/>
  <c r="O389" i="8" s="1"/>
  <c r="L786" i="10"/>
  <c r="O786" i="10" s="1"/>
  <c r="M470" i="11"/>
  <c r="P470" i="11" s="1"/>
  <c r="P328" i="11"/>
  <c r="M315" i="11"/>
  <c r="P315" i="11" s="1"/>
  <c r="M181" i="11"/>
  <c r="P181" i="11" s="1"/>
  <c r="N20" i="11"/>
  <c r="N18" i="11" s="1"/>
  <c r="L21" i="11"/>
  <c r="O21" i="11" s="1"/>
  <c r="P167" i="11"/>
  <c r="O183" i="9"/>
  <c r="M261" i="10"/>
  <c r="P261" i="10" s="1"/>
  <c r="M149" i="10"/>
  <c r="P149" i="10" s="1"/>
  <c r="K364" i="10"/>
  <c r="L20" i="11"/>
  <c r="L18" i="11" s="1"/>
  <c r="P331" i="11"/>
  <c r="O183" i="11"/>
  <c r="M277" i="11"/>
  <c r="P277" i="11" s="1"/>
  <c r="M119" i="11"/>
  <c r="P119" i="11" s="1"/>
  <c r="P21" i="11"/>
  <c r="L41" i="11"/>
  <c r="O41" i="11" s="1"/>
  <c r="O43" i="11"/>
  <c r="L277" i="11"/>
  <c r="O277" i="11" s="1"/>
  <c r="L467" i="11"/>
  <c r="O467" i="11" s="1"/>
  <c r="O469" i="11"/>
  <c r="P330" i="11"/>
  <c r="L523" i="11"/>
  <c r="O523" i="11" s="1"/>
  <c r="L88" i="11"/>
  <c r="O88" i="11" s="1"/>
  <c r="P68" i="11"/>
  <c r="M66" i="11"/>
  <c r="P66" i="11" s="1"/>
  <c r="L24" i="11"/>
  <c r="L16" i="11"/>
  <c r="L786" i="7"/>
  <c r="O786" i="7" s="1"/>
  <c r="L149" i="9"/>
  <c r="O149" i="9" s="1"/>
  <c r="P472" i="10"/>
  <c r="P345" i="10"/>
  <c r="L655" i="10"/>
  <c r="O655" i="10" s="1"/>
  <c r="K417" i="10"/>
  <c r="O421" i="11"/>
  <c r="L419" i="11"/>
  <c r="P660" i="11"/>
  <c r="M657" i="11"/>
  <c r="M658" i="11"/>
  <c r="P658" i="11" s="1"/>
  <c r="P88" i="11"/>
  <c r="L345" i="11"/>
  <c r="O345" i="11" s="1"/>
  <c r="L298" i="11"/>
  <c r="O298" i="11" s="1"/>
  <c r="O300" i="11"/>
  <c r="L119" i="11"/>
  <c r="O119" i="11" s="1"/>
  <c r="O121" i="11"/>
  <c r="O12" i="11"/>
  <c r="L9" i="11"/>
  <c r="P26" i="11"/>
  <c r="M16" i="11"/>
  <c r="P16" i="11" s="1"/>
  <c r="M24" i="11"/>
  <c r="O41" i="6"/>
  <c r="K559" i="11"/>
  <c r="I543" i="11"/>
  <c r="K543" i="11" s="1"/>
  <c r="M421" i="11"/>
  <c r="P424" i="11"/>
  <c r="M422" i="11"/>
  <c r="P422" i="11" s="1"/>
  <c r="M33" i="11"/>
  <c r="P631" i="11"/>
  <c r="P29" i="11"/>
  <c r="J364" i="11"/>
  <c r="K364" i="11" s="1"/>
  <c r="P549" i="11"/>
  <c r="M547" i="11"/>
  <c r="P547" i="11" s="1"/>
  <c r="M546" i="11"/>
  <c r="P546" i="11" s="1"/>
  <c r="N9" i="11"/>
  <c r="P15" i="11"/>
  <c r="L261" i="11"/>
  <c r="O263" i="11"/>
  <c r="I164" i="11"/>
  <c r="K164" i="11" s="1"/>
  <c r="K174" i="11"/>
  <c r="K237" i="11"/>
  <c r="I226" i="11"/>
  <c r="I65" i="11"/>
  <c r="K65" i="11" s="1"/>
  <c r="K77" i="11"/>
  <c r="L13" i="10"/>
  <c r="L11" i="10" s="1"/>
  <c r="P545" i="11"/>
  <c r="L31" i="11"/>
  <c r="O31" i="11" s="1"/>
  <c r="O33" i="11"/>
  <c r="L30" i="11"/>
  <c r="M9" i="11"/>
  <c r="O19" i="11"/>
  <c r="P23" i="11"/>
  <c r="M20" i="11"/>
  <c r="P347" i="10"/>
  <c r="P181" i="10"/>
  <c r="L444" i="11"/>
  <c r="O444" i="11" s="1"/>
  <c r="N629" i="11"/>
  <c r="O330" i="11"/>
  <c r="L328" i="11"/>
  <c r="O328" i="11" s="1"/>
  <c r="N261" i="11"/>
  <c r="O261" i="5"/>
  <c r="O68" i="7"/>
  <c r="O301" i="9"/>
  <c r="M470" i="10"/>
  <c r="P470" i="10" s="1"/>
  <c r="M467" i="10"/>
  <c r="P467" i="10" s="1"/>
  <c r="L119" i="10"/>
  <c r="O119" i="10" s="1"/>
  <c r="P167" i="10"/>
  <c r="L277" i="10"/>
  <c r="O277" i="10" s="1"/>
  <c r="O279" i="10"/>
  <c r="L34" i="6"/>
  <c r="O34" i="6" s="1"/>
  <c r="O181" i="9"/>
  <c r="P300" i="9"/>
  <c r="M33" i="10"/>
  <c r="M31" i="10" s="1"/>
  <c r="P31" i="10" s="1"/>
  <c r="O347" i="9"/>
  <c r="O68" i="9"/>
  <c r="L21" i="10"/>
  <c r="P165" i="10"/>
  <c r="P264" i="10"/>
  <c r="O41" i="10"/>
  <c r="K364" i="3"/>
  <c r="P300" i="5"/>
  <c r="L132" i="6"/>
  <c r="O132" i="6" s="1"/>
  <c r="P331" i="8"/>
  <c r="L53" i="9"/>
  <c r="O53" i="9" s="1"/>
  <c r="P330" i="5"/>
  <c r="P91" i="10"/>
  <c r="O330" i="10"/>
  <c r="P165" i="7"/>
  <c r="P55" i="9"/>
  <c r="P68" i="9"/>
  <c r="L685" i="10"/>
  <c r="O685" i="10" s="1"/>
  <c r="L20" i="10"/>
  <c r="L18" i="10" s="1"/>
  <c r="L389" i="3"/>
  <c r="O389" i="3" s="1"/>
  <c r="L34" i="7"/>
  <c r="O34" i="7" s="1"/>
  <c r="L655" i="9"/>
  <c r="O655" i="9" s="1"/>
  <c r="P21" i="9"/>
  <c r="N13" i="9"/>
  <c r="N11" i="9" s="1"/>
  <c r="P263" i="9"/>
  <c r="L31" i="9"/>
  <c r="O31" i="9" s="1"/>
  <c r="L53" i="10"/>
  <c r="O53" i="10" s="1"/>
  <c r="L444" i="10"/>
  <c r="O444" i="10" s="1"/>
  <c r="O446" i="10"/>
  <c r="O469" i="7"/>
  <c r="P328" i="7"/>
  <c r="L544" i="8"/>
  <c r="O544" i="8" s="1"/>
  <c r="O135" i="9"/>
  <c r="M315" i="10"/>
  <c r="P315" i="10" s="1"/>
  <c r="L34" i="10"/>
  <c r="O34" i="10" s="1"/>
  <c r="M422" i="10"/>
  <c r="P422" i="10" s="1"/>
  <c r="P424" i="10"/>
  <c r="M421" i="10"/>
  <c r="O33" i="10"/>
  <c r="L31" i="10"/>
  <c r="O31" i="10" s="1"/>
  <c r="L30" i="10"/>
  <c r="O30" i="10" s="1"/>
  <c r="L544" i="10"/>
  <c r="O544" i="10" s="1"/>
  <c r="L786" i="5"/>
  <c r="O786" i="5" s="1"/>
  <c r="M402" i="7"/>
  <c r="P402" i="7" s="1"/>
  <c r="O263" i="9"/>
  <c r="O43" i="10"/>
  <c r="P300" i="10"/>
  <c r="M298" i="10"/>
  <c r="P298" i="10" s="1"/>
  <c r="L444" i="6"/>
  <c r="O444" i="6" s="1"/>
  <c r="L544" i="7"/>
  <c r="O544" i="7" s="1"/>
  <c r="L544" i="9"/>
  <c r="O544" i="9" s="1"/>
  <c r="M422" i="9"/>
  <c r="P422" i="9" s="1"/>
  <c r="L119" i="9"/>
  <c r="O119" i="9" s="1"/>
  <c r="L34" i="9"/>
  <c r="O34" i="9" s="1"/>
  <c r="O23" i="9"/>
  <c r="L467" i="10"/>
  <c r="O467" i="10" s="1"/>
  <c r="O404" i="10"/>
  <c r="L402" i="10"/>
  <c r="O402" i="10" s="1"/>
  <c r="M389" i="10"/>
  <c r="P389" i="10" s="1"/>
  <c r="P391" i="10"/>
  <c r="P183" i="5"/>
  <c r="O469" i="6"/>
  <c r="O330" i="8"/>
  <c r="M402" i="10"/>
  <c r="P402" i="10" s="1"/>
  <c r="N24" i="10"/>
  <c r="P261" i="9"/>
  <c r="P90" i="10"/>
  <c r="O90" i="10"/>
  <c r="P446" i="10"/>
  <c r="M444" i="10"/>
  <c r="P55" i="6"/>
  <c r="O53" i="6"/>
  <c r="L629" i="8"/>
  <c r="O629" i="8" s="1"/>
  <c r="O167" i="8"/>
  <c r="L66" i="9"/>
  <c r="O66" i="9" s="1"/>
  <c r="L389" i="9"/>
  <c r="O389" i="9" s="1"/>
  <c r="P545" i="10"/>
  <c r="P12" i="10"/>
  <c r="M9" i="10"/>
  <c r="M66" i="10"/>
  <c r="P66" i="10" s="1"/>
  <c r="M132" i="10"/>
  <c r="P132" i="10" s="1"/>
  <c r="P134" i="10"/>
  <c r="O15" i="10"/>
  <c r="P26" i="10"/>
  <c r="M16" i="10"/>
  <c r="M24" i="10"/>
  <c r="K76" i="10"/>
  <c r="I64" i="10"/>
  <c r="K64" i="10" s="1"/>
  <c r="P41" i="10"/>
  <c r="O181" i="10"/>
  <c r="P184" i="10"/>
  <c r="N88" i="10"/>
  <c r="M389" i="8"/>
  <c r="P389" i="8" s="1"/>
  <c r="O525" i="10"/>
  <c r="L523" i="10"/>
  <c r="K434" i="10"/>
  <c r="I418" i="10"/>
  <c r="K418" i="10" s="1"/>
  <c r="M328" i="10"/>
  <c r="P328" i="10" s="1"/>
  <c r="P330" i="10"/>
  <c r="N20" i="10"/>
  <c r="N18" i="10" s="1"/>
  <c r="N13" i="10"/>
  <c r="P23" i="10"/>
  <c r="M20" i="10"/>
  <c r="M18" i="10" s="1"/>
  <c r="O23" i="10"/>
  <c r="O238" i="10"/>
  <c r="L227" i="10"/>
  <c r="L24" i="10"/>
  <c r="O26" i="10"/>
  <c r="L16" i="10"/>
  <c r="O16" i="10" s="1"/>
  <c r="M277" i="8"/>
  <c r="P277" i="8" s="1"/>
  <c r="M402" i="8"/>
  <c r="P402" i="8" s="1"/>
  <c r="I226" i="10"/>
  <c r="K237" i="10"/>
  <c r="O29" i="10"/>
  <c r="N21" i="10"/>
  <c r="O317" i="10"/>
  <c r="L315" i="10"/>
  <c r="O315" i="10" s="1"/>
  <c r="P183" i="10"/>
  <c r="O183" i="10"/>
  <c r="O687" i="7"/>
  <c r="L655" i="8"/>
  <c r="O655" i="8" s="1"/>
  <c r="L261" i="8"/>
  <c r="O261" i="8" s="1"/>
  <c r="M655" i="9"/>
  <c r="P655" i="9" s="1"/>
  <c r="L30" i="9"/>
  <c r="O30" i="9" s="1"/>
  <c r="P29" i="10"/>
  <c r="O19" i="10"/>
  <c r="M21" i="10"/>
  <c r="M119" i="10"/>
  <c r="P119" i="10" s="1"/>
  <c r="P279" i="10"/>
  <c r="M277" i="10"/>
  <c r="P277" i="10" s="1"/>
  <c r="P19" i="10"/>
  <c r="P23" i="7"/>
  <c r="K364" i="8"/>
  <c r="L149" i="10"/>
  <c r="O149" i="10" s="1"/>
  <c r="O12" i="10"/>
  <c r="L9" i="10"/>
  <c r="L165" i="10"/>
  <c r="O165" i="10" s="1"/>
  <c r="O167" i="10"/>
  <c r="L66" i="5"/>
  <c r="O66" i="5" s="1"/>
  <c r="P690" i="7"/>
  <c r="K364" i="7"/>
  <c r="M688" i="7"/>
  <c r="P688" i="7" s="1"/>
  <c r="M132" i="7"/>
  <c r="P132" i="7" s="1"/>
  <c r="O264" i="9"/>
  <c r="M277" i="9"/>
  <c r="P277" i="9" s="1"/>
  <c r="O469" i="9"/>
  <c r="L467" i="9"/>
  <c r="O467" i="9" s="1"/>
  <c r="O90" i="9"/>
  <c r="O183" i="8"/>
  <c r="M132" i="8"/>
  <c r="P132" i="8" s="1"/>
  <c r="O167" i="9"/>
  <c r="L165" i="9"/>
  <c r="O165" i="9" s="1"/>
  <c r="P549" i="9"/>
  <c r="M546" i="9"/>
  <c r="L31" i="2"/>
  <c r="O31" i="2" s="1"/>
  <c r="M315" i="8"/>
  <c r="P315" i="8" s="1"/>
  <c r="M389" i="9"/>
  <c r="P389" i="9" s="1"/>
  <c r="L13" i="9"/>
  <c r="L11" i="9" s="1"/>
  <c r="P347" i="3"/>
  <c r="O91" i="8"/>
  <c r="L21" i="9"/>
  <c r="O21" i="9" s="1"/>
  <c r="M119" i="9"/>
  <c r="P119" i="9" s="1"/>
  <c r="P121" i="9"/>
  <c r="P328" i="4"/>
  <c r="L786" i="4"/>
  <c r="O786" i="4" s="1"/>
  <c r="L419" i="6"/>
  <c r="O419" i="6" s="1"/>
  <c r="L149" i="8"/>
  <c r="O149" i="8" s="1"/>
  <c r="N181" i="8"/>
  <c r="O181" i="8" s="1"/>
  <c r="M547" i="9"/>
  <c r="P547" i="9" s="1"/>
  <c r="O347" i="3"/>
  <c r="L629" i="4"/>
  <c r="O629" i="4" s="1"/>
  <c r="P330" i="4"/>
  <c r="L149" i="5"/>
  <c r="O149" i="5" s="1"/>
  <c r="P264" i="8"/>
  <c r="L786" i="9"/>
  <c r="O786" i="9" s="1"/>
  <c r="P348" i="9"/>
  <c r="P184" i="9"/>
  <c r="P151" i="9"/>
  <c r="L786" i="3"/>
  <c r="O786" i="3" s="1"/>
  <c r="L523" i="9"/>
  <c r="O523" i="9" s="1"/>
  <c r="I417" i="9"/>
  <c r="K417" i="9" s="1"/>
  <c r="K433" i="9"/>
  <c r="M446" i="9"/>
  <c r="P449" i="9"/>
  <c r="M447" i="9"/>
  <c r="P447" i="9" s="1"/>
  <c r="M33" i="9"/>
  <c r="L298" i="9"/>
  <c r="O298" i="9" s="1"/>
  <c r="L41" i="9"/>
  <c r="O43" i="9"/>
  <c r="P19" i="9"/>
  <c r="L261" i="9"/>
  <c r="O261" i="9" s="1"/>
  <c r="I164" i="9"/>
  <c r="K164" i="9" s="1"/>
  <c r="K174" i="9"/>
  <c r="P167" i="9"/>
  <c r="M165" i="9"/>
  <c r="P165" i="9" s="1"/>
  <c r="P29" i="9"/>
  <c r="I226" i="9"/>
  <c r="P90" i="9"/>
  <c r="M88" i="9"/>
  <c r="P88" i="9" s="1"/>
  <c r="O134" i="9"/>
  <c r="L132" i="9"/>
  <c r="O132" i="9" s="1"/>
  <c r="L16" i="9"/>
  <c r="O26" i="9"/>
  <c r="O9" i="9"/>
  <c r="I65" i="9"/>
  <c r="K65" i="9" s="1"/>
  <c r="K77" i="9"/>
  <c r="N16" i="9"/>
  <c r="N14" i="9" s="1"/>
  <c r="N20" i="9"/>
  <c r="N18" i="9" s="1"/>
  <c r="L298" i="6"/>
  <c r="O298" i="6" s="1"/>
  <c r="O55" i="8"/>
  <c r="K434" i="9"/>
  <c r="I418" i="9"/>
  <c r="K418" i="9" s="1"/>
  <c r="P347" i="9"/>
  <c r="P41" i="9"/>
  <c r="O330" i="9"/>
  <c r="N328" i="9"/>
  <c r="O328" i="9" s="1"/>
  <c r="N345" i="9"/>
  <c r="O15" i="9"/>
  <c r="M9" i="9"/>
  <c r="P15" i="9"/>
  <c r="P330" i="9"/>
  <c r="L685" i="9"/>
  <c r="O685" i="9" s="1"/>
  <c r="I131" i="9"/>
  <c r="K131" i="9" s="1"/>
  <c r="K143" i="9"/>
  <c r="L227" i="9"/>
  <c r="O238" i="9"/>
  <c r="N9" i="9"/>
  <c r="O19" i="9"/>
  <c r="I64" i="9"/>
  <c r="K64" i="9" s="1"/>
  <c r="K76" i="9"/>
  <c r="O279" i="9"/>
  <c r="L277" i="9"/>
  <c r="O277" i="9" s="1"/>
  <c r="P23" i="9"/>
  <c r="M20" i="9"/>
  <c r="M18" i="9" s="1"/>
  <c r="O55" i="6"/>
  <c r="L227" i="7"/>
  <c r="O43" i="7"/>
  <c r="L629" i="7"/>
  <c r="O629" i="7" s="1"/>
  <c r="L444" i="8"/>
  <c r="O444" i="8" s="1"/>
  <c r="P351" i="9"/>
  <c r="M467" i="9"/>
  <c r="P467" i="9" s="1"/>
  <c r="P26" i="9"/>
  <c r="M16" i="9"/>
  <c r="M14" i="9" s="1"/>
  <c r="L24" i="9"/>
  <c r="O24" i="9" s="1"/>
  <c r="O29" i="9"/>
  <c r="P134" i="9"/>
  <c r="M132" i="9"/>
  <c r="P132" i="9" s="1"/>
  <c r="P263" i="7"/>
  <c r="L629" i="9"/>
  <c r="O629" i="9" s="1"/>
  <c r="P317" i="9"/>
  <c r="M315" i="9"/>
  <c r="P315" i="9" s="1"/>
  <c r="P183" i="9"/>
  <c r="M181" i="9"/>
  <c r="P181" i="9" s="1"/>
  <c r="L20" i="9"/>
  <c r="M24" i="9"/>
  <c r="P24" i="9" s="1"/>
  <c r="M277" i="4"/>
  <c r="P277" i="4" s="1"/>
  <c r="O657" i="6"/>
  <c r="P55" i="8"/>
  <c r="L132" i="7"/>
  <c r="O132" i="7" s="1"/>
  <c r="O330" i="7"/>
  <c r="N53" i="8"/>
  <c r="O53" i="8" s="1"/>
  <c r="N165" i="8"/>
  <c r="P168" i="8"/>
  <c r="P167" i="6"/>
  <c r="O183" i="7"/>
  <c r="L30" i="7"/>
  <c r="O30" i="7" s="1"/>
  <c r="M119" i="7"/>
  <c r="P119" i="7" s="1"/>
  <c r="O88" i="8"/>
  <c r="L30" i="8"/>
  <c r="O33" i="8"/>
  <c r="P549" i="8"/>
  <c r="M546" i="8"/>
  <c r="P121" i="8"/>
  <c r="M119" i="8"/>
  <c r="P119" i="8" s="1"/>
  <c r="L31" i="8"/>
  <c r="O31" i="8" s="1"/>
  <c r="O90" i="8"/>
  <c r="O33" i="7"/>
  <c r="L419" i="8"/>
  <c r="O419" i="8" s="1"/>
  <c r="M345" i="8"/>
  <c r="P345" i="8" s="1"/>
  <c r="L34" i="8"/>
  <c r="O34" i="8" s="1"/>
  <c r="M470" i="8"/>
  <c r="P470" i="8" s="1"/>
  <c r="M469" i="8"/>
  <c r="P300" i="8"/>
  <c r="M298" i="8"/>
  <c r="P298" i="8" s="1"/>
  <c r="M389" i="5"/>
  <c r="P389" i="5" s="1"/>
  <c r="M53" i="6"/>
  <c r="P53" i="6" s="1"/>
  <c r="P21" i="8"/>
  <c r="O469" i="8"/>
  <c r="L467" i="8"/>
  <c r="O467" i="8" s="1"/>
  <c r="P263" i="8"/>
  <c r="M261" i="8"/>
  <c r="P261" i="8" s="1"/>
  <c r="P151" i="8"/>
  <c r="M149" i="8"/>
  <c r="P149" i="8" s="1"/>
  <c r="P167" i="8"/>
  <c r="L227" i="8"/>
  <c r="P43" i="5"/>
  <c r="L119" i="6"/>
  <c r="O119" i="6" s="1"/>
  <c r="P44" i="7"/>
  <c r="P43" i="7"/>
  <c r="P183" i="8"/>
  <c r="M181" i="8"/>
  <c r="P263" i="4"/>
  <c r="I226" i="7"/>
  <c r="K226" i="7" s="1"/>
  <c r="L328" i="7"/>
  <c r="O328" i="7" s="1"/>
  <c r="N414" i="8"/>
  <c r="P59" i="8"/>
  <c r="M20" i="8"/>
  <c r="M16" i="8"/>
  <c r="P16" i="8" s="1"/>
  <c r="P26" i="8"/>
  <c r="M24" i="8"/>
  <c r="N14" i="8"/>
  <c r="K143" i="8"/>
  <c r="I131" i="8"/>
  <c r="K131" i="8" s="1"/>
  <c r="P15" i="8"/>
  <c r="L20" i="8"/>
  <c r="L13" i="8"/>
  <c r="L21" i="8"/>
  <c r="O21" i="8" s="1"/>
  <c r="O23" i="8"/>
  <c r="O328" i="6"/>
  <c r="O687" i="8"/>
  <c r="L685" i="8"/>
  <c r="O685" i="8" s="1"/>
  <c r="M687" i="8"/>
  <c r="M688" i="8"/>
  <c r="P688" i="8" s="1"/>
  <c r="P690" i="8"/>
  <c r="L523" i="8"/>
  <c r="O523" i="8" s="1"/>
  <c r="O525" i="8"/>
  <c r="O68" i="8"/>
  <c r="L66" i="8"/>
  <c r="O66" i="8" s="1"/>
  <c r="M9" i="8"/>
  <c r="P12" i="8"/>
  <c r="M446" i="8"/>
  <c r="M447" i="8"/>
  <c r="P447" i="8" s="1"/>
  <c r="P449" i="8"/>
  <c r="M33" i="8"/>
  <c r="P90" i="8"/>
  <c r="M88" i="8"/>
  <c r="L315" i="8"/>
  <c r="O315" i="8" s="1"/>
  <c r="P19" i="8"/>
  <c r="P43" i="6"/>
  <c r="N41" i="7"/>
  <c r="P41" i="7" s="1"/>
  <c r="P330" i="7"/>
  <c r="O167" i="7"/>
  <c r="J417" i="8"/>
  <c r="K417" i="8" s="1"/>
  <c r="K433" i="8"/>
  <c r="L16" i="8"/>
  <c r="O26" i="8"/>
  <c r="O43" i="8"/>
  <c r="L41" i="8"/>
  <c r="K76" i="8"/>
  <c r="I64" i="8"/>
  <c r="K64" i="8" s="1"/>
  <c r="I226" i="8"/>
  <c r="N20" i="8"/>
  <c r="N18" i="8" s="1"/>
  <c r="N13" i="8"/>
  <c r="P23" i="8"/>
  <c r="K434" i="8"/>
  <c r="I418" i="8"/>
  <c r="K418" i="8" s="1"/>
  <c r="N41" i="8"/>
  <c r="P43" i="8"/>
  <c r="N24" i="8"/>
  <c r="O24" i="8" s="1"/>
  <c r="O347" i="4"/>
  <c r="J364" i="6"/>
  <c r="K364" i="6" s="1"/>
  <c r="L277" i="7"/>
  <c r="O277" i="7" s="1"/>
  <c r="P167" i="7"/>
  <c r="L119" i="7"/>
  <c r="O119" i="7" s="1"/>
  <c r="P68" i="3"/>
  <c r="K434" i="5"/>
  <c r="P261" i="5"/>
  <c r="M149" i="6"/>
  <c r="P149" i="6" s="1"/>
  <c r="O330" i="5"/>
  <c r="L16" i="6"/>
  <c r="L14" i="6" s="1"/>
  <c r="L165" i="7"/>
  <c r="O165" i="7" s="1"/>
  <c r="M149" i="7"/>
  <c r="P149" i="7" s="1"/>
  <c r="O134" i="3"/>
  <c r="P351" i="6"/>
  <c r="M119" i="6"/>
  <c r="P119" i="6" s="1"/>
  <c r="O391" i="7"/>
  <c r="L389" i="7"/>
  <c r="O389" i="7" s="1"/>
  <c r="K364" i="5"/>
  <c r="I418" i="7"/>
  <c r="K418" i="7" s="1"/>
  <c r="O184" i="5"/>
  <c r="O391" i="6"/>
  <c r="L328" i="5"/>
  <c r="O328" i="5" s="1"/>
  <c r="M389" i="6"/>
  <c r="P389" i="6" s="1"/>
  <c r="M165" i="6"/>
  <c r="P165" i="6" s="1"/>
  <c r="M419" i="7"/>
  <c r="P419" i="7" s="1"/>
  <c r="N261" i="7"/>
  <c r="P261" i="7" s="1"/>
  <c r="L523" i="7"/>
  <c r="O523" i="7" s="1"/>
  <c r="O348" i="7"/>
  <c r="L277" i="5"/>
  <c r="O277" i="5" s="1"/>
  <c r="P138" i="5"/>
  <c r="O330" i="6"/>
  <c r="O347" i="7"/>
  <c r="L181" i="7"/>
  <c r="O181" i="7" s="1"/>
  <c r="P347" i="7"/>
  <c r="M298" i="7"/>
  <c r="P298" i="7" s="1"/>
  <c r="N21" i="7"/>
  <c r="P21" i="7" s="1"/>
  <c r="M277" i="7"/>
  <c r="P277" i="7" s="1"/>
  <c r="P279" i="7"/>
  <c r="M470" i="7"/>
  <c r="P470" i="7" s="1"/>
  <c r="P472" i="7"/>
  <c r="M469" i="7"/>
  <c r="M467" i="7" s="1"/>
  <c r="P467" i="7" s="1"/>
  <c r="P183" i="6"/>
  <c r="L20" i="6"/>
  <c r="L18" i="6" s="1"/>
  <c r="M389" i="7"/>
  <c r="P389" i="7" s="1"/>
  <c r="L419" i="7"/>
  <c r="O419" i="7" s="1"/>
  <c r="P41" i="6"/>
  <c r="M345" i="7"/>
  <c r="P345" i="7" s="1"/>
  <c r="O264" i="7"/>
  <c r="M315" i="7"/>
  <c r="P315" i="7" s="1"/>
  <c r="P317" i="7"/>
  <c r="O26" i="6"/>
  <c r="O263" i="5"/>
  <c r="N467" i="7"/>
  <c r="O467" i="7" s="1"/>
  <c r="P26" i="7"/>
  <c r="M16" i="7"/>
  <c r="M14" i="7" s="1"/>
  <c r="O657" i="7"/>
  <c r="L655" i="7"/>
  <c r="O655" i="7" s="1"/>
  <c r="P660" i="7"/>
  <c r="M657" i="7"/>
  <c r="M658" i="7"/>
  <c r="P658" i="7" s="1"/>
  <c r="N53" i="7"/>
  <c r="P55" i="7"/>
  <c r="O9" i="7"/>
  <c r="O300" i="7"/>
  <c r="L298" i="7"/>
  <c r="O298" i="7" s="1"/>
  <c r="L20" i="7"/>
  <c r="L13" i="7"/>
  <c r="L21" i="7"/>
  <c r="O23" i="7"/>
  <c r="P12" i="7"/>
  <c r="M9" i="7"/>
  <c r="L402" i="7"/>
  <c r="O402" i="7" s="1"/>
  <c r="O404" i="7"/>
  <c r="K559" i="7"/>
  <c r="I543" i="7"/>
  <c r="K543" i="7" s="1"/>
  <c r="O90" i="7"/>
  <c r="N88" i="7"/>
  <c r="O88" i="7" s="1"/>
  <c r="P90" i="7"/>
  <c r="P15" i="7"/>
  <c r="O447" i="7"/>
  <c r="N9" i="7"/>
  <c r="M546" i="7"/>
  <c r="P546" i="7" s="1"/>
  <c r="M547" i="7"/>
  <c r="P547" i="7" s="1"/>
  <c r="P549" i="7"/>
  <c r="L261" i="7"/>
  <c r="O263" i="7"/>
  <c r="L444" i="7"/>
  <c r="O444" i="7" s="1"/>
  <c r="O446" i="7"/>
  <c r="O26" i="7"/>
  <c r="L16" i="7"/>
  <c r="L786" i="6"/>
  <c r="O786" i="6" s="1"/>
  <c r="N24" i="6"/>
  <c r="O24" i="6" s="1"/>
  <c r="L66" i="6"/>
  <c r="O66" i="6" s="1"/>
  <c r="N24" i="7"/>
  <c r="N16" i="7"/>
  <c r="N14" i="7" s="1"/>
  <c r="N20" i="7"/>
  <c r="N18" i="7" s="1"/>
  <c r="N13" i="7"/>
  <c r="L24" i="7"/>
  <c r="M20" i="7"/>
  <c r="M18" i="7" s="1"/>
  <c r="L132" i="5"/>
  <c r="O132" i="5" s="1"/>
  <c r="M298" i="6"/>
  <c r="P298" i="6" s="1"/>
  <c r="L277" i="6"/>
  <c r="O277" i="6" s="1"/>
  <c r="P181" i="6"/>
  <c r="P545" i="7"/>
  <c r="I417" i="7"/>
  <c r="K417" i="7" s="1"/>
  <c r="K433" i="7"/>
  <c r="O55" i="7"/>
  <c r="M24" i="7"/>
  <c r="M446" i="7"/>
  <c r="P449" i="7"/>
  <c r="M447" i="7"/>
  <c r="P447" i="7" s="1"/>
  <c r="M33" i="7"/>
  <c r="P183" i="7"/>
  <c r="M181" i="7"/>
  <c r="P181" i="7" s="1"/>
  <c r="K76" i="7"/>
  <c r="I64" i="7"/>
  <c r="K64" i="7" s="1"/>
  <c r="P19" i="7"/>
  <c r="L345" i="7"/>
  <c r="O345" i="7" s="1"/>
  <c r="M66" i="7"/>
  <c r="O330" i="4"/>
  <c r="O351" i="5"/>
  <c r="M261" i="6"/>
  <c r="P261" i="6" s="1"/>
  <c r="N14" i="6"/>
  <c r="P56" i="6"/>
  <c r="M66" i="6"/>
  <c r="P66" i="6" s="1"/>
  <c r="P68" i="6"/>
  <c r="K434" i="4"/>
  <c r="P422" i="6"/>
  <c r="M277" i="6"/>
  <c r="P277" i="6" s="1"/>
  <c r="I418" i="6"/>
  <c r="K418" i="6" s="1"/>
  <c r="P26" i="6"/>
  <c r="L523" i="5"/>
  <c r="O523" i="5" s="1"/>
  <c r="P56" i="4"/>
  <c r="I64" i="5"/>
  <c r="K64" i="5" s="1"/>
  <c r="L629" i="6"/>
  <c r="O629" i="6" s="1"/>
  <c r="M24" i="6"/>
  <c r="P330" i="6"/>
  <c r="M328" i="6"/>
  <c r="P328" i="6" s="1"/>
  <c r="L345" i="4"/>
  <c r="O345" i="4" s="1"/>
  <c r="L30" i="4"/>
  <c r="O30" i="4" s="1"/>
  <c r="O167" i="5"/>
  <c r="M629" i="6"/>
  <c r="P629" i="6" s="1"/>
  <c r="M655" i="6"/>
  <c r="P655" i="6" s="1"/>
  <c r="P301" i="5"/>
  <c r="P55" i="3"/>
  <c r="O469" i="5"/>
  <c r="O91" i="5"/>
  <c r="M419" i="6"/>
  <c r="P419" i="6" s="1"/>
  <c r="P421" i="6"/>
  <c r="L328" i="4"/>
  <c r="O328" i="4" s="1"/>
  <c r="N261" i="4"/>
  <c r="O261" i="4" s="1"/>
  <c r="P121" i="5"/>
  <c r="P263" i="5"/>
  <c r="O422" i="6"/>
  <c r="L227" i="6"/>
  <c r="O238" i="6"/>
  <c r="L149" i="6"/>
  <c r="O149" i="6" s="1"/>
  <c r="N20" i="6"/>
  <c r="N18" i="6" s="1"/>
  <c r="P549" i="6"/>
  <c r="M547" i="6"/>
  <c r="P547" i="6" s="1"/>
  <c r="M546" i="6"/>
  <c r="O317" i="5"/>
  <c r="L315" i="5"/>
  <c r="O315" i="5" s="1"/>
  <c r="L149" i="2"/>
  <c r="O149" i="2" s="1"/>
  <c r="P149" i="2"/>
  <c r="P632" i="6"/>
  <c r="L523" i="6"/>
  <c r="O523" i="6" s="1"/>
  <c r="P19" i="6"/>
  <c r="P134" i="6"/>
  <c r="M132" i="6"/>
  <c r="P132" i="6" s="1"/>
  <c r="P23" i="6"/>
  <c r="M20" i="6"/>
  <c r="M21" i="6"/>
  <c r="P348" i="6"/>
  <c r="O348" i="6"/>
  <c r="O183" i="6"/>
  <c r="L181" i="6"/>
  <c r="O181" i="6" s="1"/>
  <c r="I65" i="6"/>
  <c r="K65" i="6" s="1"/>
  <c r="K77" i="6"/>
  <c r="O467" i="6"/>
  <c r="K174" i="6"/>
  <c r="I164" i="6"/>
  <c r="K164" i="6" s="1"/>
  <c r="O547" i="6"/>
  <c r="P16" i="6"/>
  <c r="M14" i="6"/>
  <c r="O263" i="2"/>
  <c r="O33" i="4"/>
  <c r="O688" i="6"/>
  <c r="K237" i="6"/>
  <c r="I226" i="6"/>
  <c r="O467" i="5"/>
  <c r="O470" i="6"/>
  <c r="P690" i="6"/>
  <c r="M687" i="6"/>
  <c r="M688" i="6"/>
  <c r="P688" i="6" s="1"/>
  <c r="N546" i="6"/>
  <c r="N544" i="6" s="1"/>
  <c r="N414" i="6" s="1"/>
  <c r="N547" i="6"/>
  <c r="N33" i="6"/>
  <c r="O546" i="6"/>
  <c r="K433" i="6"/>
  <c r="O317" i="6"/>
  <c r="L315" i="6"/>
  <c r="O315" i="6" s="1"/>
  <c r="L261" i="6"/>
  <c r="O261" i="6" s="1"/>
  <c r="O23" i="6"/>
  <c r="N21" i="6"/>
  <c r="O21" i="6" s="1"/>
  <c r="K77" i="2"/>
  <c r="O90" i="4"/>
  <c r="L298" i="5"/>
  <c r="O298" i="5" s="1"/>
  <c r="P472" i="6"/>
  <c r="M469" i="6"/>
  <c r="M33" i="6"/>
  <c r="M470" i="6"/>
  <c r="P470" i="6" s="1"/>
  <c r="L402" i="6"/>
  <c r="O402" i="6" s="1"/>
  <c r="O687" i="6"/>
  <c r="L544" i="6"/>
  <c r="O544" i="6" s="1"/>
  <c r="O347" i="6"/>
  <c r="N345" i="6"/>
  <c r="O345" i="6" s="1"/>
  <c r="O167" i="6"/>
  <c r="L165" i="6"/>
  <c r="O165" i="6" s="1"/>
  <c r="L31" i="6"/>
  <c r="O33" i="6"/>
  <c r="L30" i="6"/>
  <c r="I64" i="6"/>
  <c r="K64" i="6" s="1"/>
  <c r="K76" i="6"/>
  <c r="M402" i="6"/>
  <c r="P402" i="6" s="1"/>
  <c r="N9" i="6"/>
  <c r="P347" i="6"/>
  <c r="P345" i="5"/>
  <c r="N119" i="5"/>
  <c r="P119" i="5" s="1"/>
  <c r="P56" i="5"/>
  <c r="L444" i="5"/>
  <c r="O444" i="5" s="1"/>
  <c r="P328" i="5"/>
  <c r="P300" i="4"/>
  <c r="K76" i="3"/>
  <c r="L34" i="5"/>
  <c r="O34" i="5" s="1"/>
  <c r="K433" i="5"/>
  <c r="J417" i="5"/>
  <c r="K417" i="5" s="1"/>
  <c r="L786" i="2"/>
  <c r="O786" i="2" s="1"/>
  <c r="O121" i="3"/>
  <c r="K433" i="4"/>
  <c r="M66" i="4"/>
  <c r="P66" i="4" s="1"/>
  <c r="L165" i="5"/>
  <c r="O165" i="5" s="1"/>
  <c r="M41" i="5"/>
  <c r="P41" i="5" s="1"/>
  <c r="I65" i="5"/>
  <c r="K65" i="5" s="1"/>
  <c r="K77" i="5"/>
  <c r="O43" i="5"/>
  <c r="L41" i="5"/>
  <c r="O41" i="5" s="1"/>
  <c r="K236" i="1"/>
  <c r="K434" i="2"/>
  <c r="M119" i="3"/>
  <c r="P119" i="3" s="1"/>
  <c r="P300" i="3"/>
  <c r="L544" i="4"/>
  <c r="O544" i="4" s="1"/>
  <c r="P167" i="5"/>
  <c r="L655" i="5"/>
  <c r="O655" i="5" s="1"/>
  <c r="N261" i="2"/>
  <c r="O261" i="2" s="1"/>
  <c r="P165" i="5"/>
  <c r="M66" i="5"/>
  <c r="P66" i="5" s="1"/>
  <c r="M149" i="5"/>
  <c r="P149" i="5" s="1"/>
  <c r="P347" i="5"/>
  <c r="P549" i="5"/>
  <c r="M546" i="5"/>
  <c r="M547" i="5"/>
  <c r="P547" i="5" s="1"/>
  <c r="P90" i="5"/>
  <c r="M88" i="5"/>
  <c r="P88" i="5" s="1"/>
  <c r="O238" i="5"/>
  <c r="L227" i="5"/>
  <c r="O55" i="5"/>
  <c r="L53" i="5"/>
  <c r="O300" i="4"/>
  <c r="L298" i="4"/>
  <c r="O298" i="4" s="1"/>
  <c r="L629" i="5"/>
  <c r="O629" i="5" s="1"/>
  <c r="O631" i="5"/>
  <c r="O121" i="4"/>
  <c r="L119" i="4"/>
  <c r="O119" i="4" s="1"/>
  <c r="N20" i="5"/>
  <c r="N18" i="5" s="1"/>
  <c r="N13" i="5"/>
  <c r="P23" i="5"/>
  <c r="P43" i="3"/>
  <c r="L34" i="4"/>
  <c r="O34" i="4" s="1"/>
  <c r="P55" i="4"/>
  <c r="L31" i="4"/>
  <c r="O31" i="4" s="1"/>
  <c r="K143" i="5"/>
  <c r="I131" i="5"/>
  <c r="K131" i="5" s="1"/>
  <c r="M53" i="5"/>
  <c r="P53" i="5" s="1"/>
  <c r="M421" i="5"/>
  <c r="P424" i="5"/>
  <c r="M422" i="5"/>
  <c r="P422" i="5" s="1"/>
  <c r="M33" i="5"/>
  <c r="O632" i="5"/>
  <c r="L9" i="5"/>
  <c r="O12" i="5"/>
  <c r="N9" i="5"/>
  <c r="P53" i="4"/>
  <c r="P391" i="2"/>
  <c r="O68" i="4"/>
  <c r="P472" i="5"/>
  <c r="M469" i="5"/>
  <c r="M470" i="5"/>
  <c r="P470" i="5" s="1"/>
  <c r="O546" i="5"/>
  <c r="L544" i="5"/>
  <c r="O544" i="5" s="1"/>
  <c r="L402" i="5"/>
  <c r="O402" i="5" s="1"/>
  <c r="L88" i="5"/>
  <c r="O88" i="5" s="1"/>
  <c r="O90" i="5"/>
  <c r="P317" i="5"/>
  <c r="M315" i="5"/>
  <c r="P315" i="5" s="1"/>
  <c r="M181" i="5"/>
  <c r="P181" i="5" s="1"/>
  <c r="M16" i="5"/>
  <c r="P26" i="5"/>
  <c r="L389" i="5"/>
  <c r="O389" i="5" s="1"/>
  <c r="O391" i="5"/>
  <c r="P15" i="5"/>
  <c r="M631" i="5"/>
  <c r="P634" i="5"/>
  <c r="M632" i="5"/>
  <c r="P632" i="5" s="1"/>
  <c r="M24" i="5"/>
  <c r="O19" i="5"/>
  <c r="O43" i="2"/>
  <c r="O348" i="3"/>
  <c r="O91" i="4"/>
  <c r="I164" i="5"/>
  <c r="K164" i="5" s="1"/>
  <c r="K174" i="5"/>
  <c r="O183" i="5"/>
  <c r="L181" i="5"/>
  <c r="O181" i="5" s="1"/>
  <c r="N21" i="5"/>
  <c r="P21" i="5" s="1"/>
  <c r="L30" i="5"/>
  <c r="O33" i="5"/>
  <c r="L31" i="5"/>
  <c r="O31" i="5" s="1"/>
  <c r="O26" i="5"/>
  <c r="L16" i="5"/>
  <c r="L24" i="5"/>
  <c r="O121" i="5"/>
  <c r="L119" i="5"/>
  <c r="L132" i="4"/>
  <c r="O132" i="4" s="1"/>
  <c r="M402" i="5"/>
  <c r="P402" i="5" s="1"/>
  <c r="L685" i="5"/>
  <c r="O685" i="5" s="1"/>
  <c r="O263" i="4"/>
  <c r="P29" i="5"/>
  <c r="M9" i="5"/>
  <c r="K233" i="1"/>
  <c r="L523" i="2"/>
  <c r="O523" i="2" s="1"/>
  <c r="O53" i="3"/>
  <c r="O525" i="3"/>
  <c r="M402" i="4"/>
  <c r="P402" i="4" s="1"/>
  <c r="N414" i="5"/>
  <c r="O421" i="5"/>
  <c r="L419" i="5"/>
  <c r="O347" i="5"/>
  <c r="L345" i="5"/>
  <c r="O345" i="5" s="1"/>
  <c r="P134" i="5"/>
  <c r="M132" i="5"/>
  <c r="P132" i="5" s="1"/>
  <c r="O23" i="5"/>
  <c r="L20" i="5"/>
  <c r="L18" i="5" s="1"/>
  <c r="L13" i="5"/>
  <c r="N16" i="5"/>
  <c r="N14" i="5" s="1"/>
  <c r="N24" i="5"/>
  <c r="M20" i="5"/>
  <c r="I226" i="5"/>
  <c r="O198" i="1"/>
  <c r="J417" i="3"/>
  <c r="K417" i="3" s="1"/>
  <c r="O183" i="3"/>
  <c r="P184" i="4"/>
  <c r="L30" i="1"/>
  <c r="L28" i="1" s="1"/>
  <c r="L165" i="2"/>
  <c r="O165" i="2" s="1"/>
  <c r="L389" i="4"/>
  <c r="O389" i="4" s="1"/>
  <c r="M132" i="4"/>
  <c r="P132" i="4" s="1"/>
  <c r="P298" i="3"/>
  <c r="O26" i="4"/>
  <c r="L544" i="2"/>
  <c r="O544" i="2" s="1"/>
  <c r="P151" i="2"/>
  <c r="O55" i="4"/>
  <c r="P165" i="4"/>
  <c r="O165" i="4"/>
  <c r="M421" i="4"/>
  <c r="M419" i="4" s="1"/>
  <c r="O404" i="2"/>
  <c r="L165" i="3"/>
  <c r="O165" i="3" s="1"/>
  <c r="P279" i="3"/>
  <c r="M469" i="3"/>
  <c r="M467" i="3" s="1"/>
  <c r="K174" i="4"/>
  <c r="I164" i="4"/>
  <c r="K164" i="4" s="1"/>
  <c r="P149" i="1"/>
  <c r="M422" i="4"/>
  <c r="P422" i="4" s="1"/>
  <c r="L523" i="4"/>
  <c r="O523" i="4" s="1"/>
  <c r="O525" i="4"/>
  <c r="M24" i="4"/>
  <c r="M16" i="4"/>
  <c r="M14" i="4" s="1"/>
  <c r="O404" i="4"/>
  <c r="L402" i="4"/>
  <c r="O402" i="4" s="1"/>
  <c r="L227" i="1"/>
  <c r="P472" i="2"/>
  <c r="P55" i="2"/>
  <c r="L444" i="3"/>
  <c r="O444" i="3" s="1"/>
  <c r="O279" i="3"/>
  <c r="L16" i="4"/>
  <c r="L14" i="4" s="1"/>
  <c r="L24" i="4"/>
  <c r="P404" i="2"/>
  <c r="O347" i="2"/>
  <c r="L119" i="2"/>
  <c r="O119" i="2" s="1"/>
  <c r="M419" i="3"/>
  <c r="P419" i="3" s="1"/>
  <c r="L181" i="3"/>
  <c r="O181" i="3" s="1"/>
  <c r="L655" i="4"/>
  <c r="O655" i="4" s="1"/>
  <c r="M119" i="4"/>
  <c r="P119" i="4" s="1"/>
  <c r="M470" i="4"/>
  <c r="P470" i="4" s="1"/>
  <c r="M469" i="4"/>
  <c r="P317" i="4"/>
  <c r="M315" i="4"/>
  <c r="P315" i="4" s="1"/>
  <c r="P545" i="4"/>
  <c r="O53" i="4"/>
  <c r="L315" i="4"/>
  <c r="O315" i="4" s="1"/>
  <c r="O238" i="4"/>
  <c r="L227" i="4"/>
  <c r="K77" i="4"/>
  <c r="I65" i="4"/>
  <c r="K65" i="4" s="1"/>
  <c r="P168" i="4"/>
  <c r="N16" i="4"/>
  <c r="N24" i="4"/>
  <c r="P183" i="4"/>
  <c r="N181" i="4"/>
  <c r="P181" i="4" s="1"/>
  <c r="M149" i="4"/>
  <c r="P149" i="4" s="1"/>
  <c r="P26" i="4"/>
  <c r="P15" i="4"/>
  <c r="O41" i="4"/>
  <c r="O279" i="2"/>
  <c r="O631" i="2"/>
  <c r="N10" i="2"/>
  <c r="P279" i="2"/>
  <c r="L419" i="3"/>
  <c r="O419" i="3" s="1"/>
  <c r="L419" i="4"/>
  <c r="O446" i="4"/>
  <c r="L444" i="4"/>
  <c r="O444" i="4" s="1"/>
  <c r="I226" i="4"/>
  <c r="K237" i="4"/>
  <c r="M389" i="4"/>
  <c r="P389" i="4" s="1"/>
  <c r="P391" i="4"/>
  <c r="O151" i="4"/>
  <c r="L149" i="4"/>
  <c r="O149" i="4" s="1"/>
  <c r="N88" i="4"/>
  <c r="P88" i="4" s="1"/>
  <c r="P90" i="4"/>
  <c r="P23" i="4"/>
  <c r="M20" i="4"/>
  <c r="P264" i="4"/>
  <c r="O264" i="4"/>
  <c r="N20" i="4"/>
  <c r="N18" i="4" s="1"/>
  <c r="N13" i="4"/>
  <c r="N21" i="4"/>
  <c r="P21" i="4" s="1"/>
  <c r="O23" i="4"/>
  <c r="L20" i="4"/>
  <c r="L13" i="4"/>
  <c r="P41" i="4"/>
  <c r="L277" i="4"/>
  <c r="O277" i="4" s="1"/>
  <c r="O279" i="4"/>
  <c r="P351" i="2"/>
  <c r="O301" i="3"/>
  <c r="L34" i="3"/>
  <c r="O34" i="3" s="1"/>
  <c r="O263" i="3"/>
  <c r="L467" i="4"/>
  <c r="O467" i="4" s="1"/>
  <c r="O469" i="4"/>
  <c r="P347" i="4"/>
  <c r="M345" i="4"/>
  <c r="P345" i="4" s="1"/>
  <c r="O183" i="4"/>
  <c r="L181" i="4"/>
  <c r="J364" i="4"/>
  <c r="K364" i="4" s="1"/>
  <c r="K365" i="4"/>
  <c r="P44" i="4"/>
  <c r="O44" i="4"/>
  <c r="P29" i="4"/>
  <c r="J594" i="1"/>
  <c r="K594" i="1" s="1"/>
  <c r="K112" i="1"/>
  <c r="P424" i="2"/>
  <c r="N24" i="2"/>
  <c r="P24" i="2" s="1"/>
  <c r="M119" i="2"/>
  <c r="P119" i="2" s="1"/>
  <c r="L655" i="3"/>
  <c r="O655" i="3" s="1"/>
  <c r="M389" i="3"/>
  <c r="P389" i="3" s="1"/>
  <c r="P472" i="3"/>
  <c r="O55" i="3"/>
  <c r="M446" i="4"/>
  <c r="P449" i="4"/>
  <c r="M447" i="4"/>
  <c r="P447" i="4" s="1"/>
  <c r="M33" i="4"/>
  <c r="M13" i="4" s="1"/>
  <c r="M11" i="4" s="1"/>
  <c r="O43" i="4"/>
  <c r="P43" i="4"/>
  <c r="P12" i="4"/>
  <c r="M9" i="4"/>
  <c r="P167" i="4"/>
  <c r="O167" i="4"/>
  <c r="K76" i="4"/>
  <c r="I64" i="4"/>
  <c r="K64" i="4" s="1"/>
  <c r="O470" i="4"/>
  <c r="O151" i="1"/>
  <c r="P330" i="3"/>
  <c r="P470" i="3"/>
  <c r="M546" i="4"/>
  <c r="P546" i="4" s="1"/>
  <c r="M547" i="4"/>
  <c r="P547" i="4" s="1"/>
  <c r="P549" i="4"/>
  <c r="M53" i="3"/>
  <c r="P53" i="3" s="1"/>
  <c r="L30" i="2"/>
  <c r="O30" i="2" s="1"/>
  <c r="I164" i="3"/>
  <c r="K164" i="3" s="1"/>
  <c r="L298" i="2"/>
  <c r="O298" i="2" s="1"/>
  <c r="M345" i="3"/>
  <c r="P345" i="3" s="1"/>
  <c r="M547" i="2"/>
  <c r="P547" i="2" s="1"/>
  <c r="P549" i="2"/>
  <c r="M328" i="3"/>
  <c r="P328" i="3" s="1"/>
  <c r="P263" i="2"/>
  <c r="P277" i="2"/>
  <c r="P26" i="2"/>
  <c r="N21" i="2"/>
  <c r="M402" i="3"/>
  <c r="P402" i="3" s="1"/>
  <c r="P404" i="3"/>
  <c r="N447" i="1"/>
  <c r="P447" i="1" s="1"/>
  <c r="L345" i="3"/>
  <c r="O345" i="3" s="1"/>
  <c r="P90" i="3"/>
  <c r="M66" i="3"/>
  <c r="P66" i="3" s="1"/>
  <c r="O328" i="3"/>
  <c r="M389" i="2"/>
  <c r="P389" i="2" s="1"/>
  <c r="O261" i="3"/>
  <c r="O69" i="3"/>
  <c r="O330" i="3"/>
  <c r="P183" i="3"/>
  <c r="M181" i="3"/>
  <c r="P181" i="3" s="1"/>
  <c r="N20" i="2"/>
  <c r="N18" i="2" s="1"/>
  <c r="L467" i="2"/>
  <c r="O467" i="2" s="1"/>
  <c r="I65" i="3"/>
  <c r="K65" i="3" s="1"/>
  <c r="P23" i="3"/>
  <c r="K364" i="1"/>
  <c r="K675" i="1"/>
  <c r="N547" i="1"/>
  <c r="O547" i="1" s="1"/>
  <c r="L467" i="3"/>
  <c r="O467" i="3" s="1"/>
  <c r="O469" i="3"/>
  <c r="K559" i="3"/>
  <c r="I543" i="3"/>
  <c r="K543" i="3" s="1"/>
  <c r="O151" i="3"/>
  <c r="L149" i="3"/>
  <c r="O149" i="3" s="1"/>
  <c r="O88" i="3"/>
  <c r="O43" i="3"/>
  <c r="L41" i="3"/>
  <c r="M315" i="3"/>
  <c r="P317" i="3"/>
  <c r="M24" i="3"/>
  <c r="P26" i="3"/>
  <c r="M16" i="3"/>
  <c r="O29" i="3"/>
  <c r="N31" i="3"/>
  <c r="O31" i="3" s="1"/>
  <c r="N30" i="3"/>
  <c r="N28" i="3" s="1"/>
  <c r="O23" i="3"/>
  <c r="L20" i="3"/>
  <c r="L18" i="3" s="1"/>
  <c r="L13" i="3"/>
  <c r="O15" i="3"/>
  <c r="P151" i="1"/>
  <c r="P634" i="2"/>
  <c r="P545" i="3"/>
  <c r="O317" i="3"/>
  <c r="N315" i="3"/>
  <c r="O315" i="3" s="1"/>
  <c r="K537" i="3"/>
  <c r="P41" i="3"/>
  <c r="P44" i="3"/>
  <c r="M20" i="3"/>
  <c r="M18" i="3" s="1"/>
  <c r="P151" i="3"/>
  <c r="M149" i="3"/>
  <c r="P149" i="3" s="1"/>
  <c r="O26" i="3"/>
  <c r="L16" i="3"/>
  <c r="L14" i="3" s="1"/>
  <c r="P449" i="3"/>
  <c r="M446" i="3"/>
  <c r="M447" i="3"/>
  <c r="P447" i="3" s="1"/>
  <c r="M33" i="3"/>
  <c r="L24" i="3"/>
  <c r="P183" i="1"/>
  <c r="L13" i="1"/>
  <c r="L11" i="1" s="1"/>
  <c r="L419" i="2"/>
  <c r="O419" i="2" s="1"/>
  <c r="O389" i="2"/>
  <c r="L685" i="3"/>
  <c r="O685" i="3" s="1"/>
  <c r="O687" i="3"/>
  <c r="L298" i="3"/>
  <c r="O298" i="3" s="1"/>
  <c r="L277" i="3"/>
  <c r="O277" i="3" s="1"/>
  <c r="O12" i="3"/>
  <c r="L9" i="3"/>
  <c r="M277" i="3"/>
  <c r="P277" i="3" s="1"/>
  <c r="K248" i="3"/>
  <c r="I226" i="3"/>
  <c r="O90" i="3"/>
  <c r="K275" i="3"/>
  <c r="M523" i="3"/>
  <c r="P523" i="3" s="1"/>
  <c r="P525" i="3"/>
  <c r="O19" i="3"/>
  <c r="P88" i="3"/>
  <c r="O152" i="3"/>
  <c r="P12" i="3"/>
  <c r="M9" i="3"/>
  <c r="O546" i="3"/>
  <c r="L544" i="3"/>
  <c r="O544" i="3" s="1"/>
  <c r="O631" i="3"/>
  <c r="L629" i="3"/>
  <c r="O629" i="3" s="1"/>
  <c r="O238" i="3"/>
  <c r="L227" i="3"/>
  <c r="N467" i="3"/>
  <c r="I418" i="3"/>
  <c r="K418" i="3" s="1"/>
  <c r="K434" i="3"/>
  <c r="K288" i="3"/>
  <c r="P167" i="3"/>
  <c r="M165" i="3"/>
  <c r="P165" i="3" s="1"/>
  <c r="P19" i="3"/>
  <c r="K654" i="1"/>
  <c r="M546" i="3"/>
  <c r="P546" i="3" s="1"/>
  <c r="P549" i="3"/>
  <c r="M547" i="3"/>
  <c r="P547" i="3" s="1"/>
  <c r="P134" i="3"/>
  <c r="N132" i="3"/>
  <c r="O132" i="3" s="1"/>
  <c r="P263" i="3"/>
  <c r="M261" i="3"/>
  <c r="P261" i="3" s="1"/>
  <c r="N24" i="3"/>
  <c r="N16" i="3"/>
  <c r="N14" i="3" s="1"/>
  <c r="N20" i="3"/>
  <c r="N18" i="3" s="1"/>
  <c r="N13" i="3"/>
  <c r="N21" i="3"/>
  <c r="O21" i="3" s="1"/>
  <c r="K143" i="3"/>
  <c r="I131" i="3"/>
  <c r="K131" i="3" s="1"/>
  <c r="P135" i="3"/>
  <c r="O135" i="3"/>
  <c r="O68" i="3"/>
  <c r="L66" i="3"/>
  <c r="O66" i="3" s="1"/>
  <c r="O33" i="3"/>
  <c r="L30" i="3"/>
  <c r="O30" i="3" s="1"/>
  <c r="P546" i="2"/>
  <c r="M544" i="2"/>
  <c r="P544" i="2" s="1"/>
  <c r="K417" i="2"/>
  <c r="P549" i="1"/>
  <c r="O183" i="1"/>
  <c r="M422" i="2"/>
  <c r="P422" i="2" s="1"/>
  <c r="K364" i="2"/>
  <c r="O298" i="1"/>
  <c r="O549" i="1"/>
  <c r="P134" i="1"/>
  <c r="M419" i="2"/>
  <c r="P419" i="2" s="1"/>
  <c r="M16" i="2"/>
  <c r="P16" i="2" s="1"/>
  <c r="M165" i="2"/>
  <c r="P165" i="2" s="1"/>
  <c r="P68" i="2"/>
  <c r="O68" i="2"/>
  <c r="M469" i="2"/>
  <c r="P469" i="2" s="1"/>
  <c r="O348" i="2"/>
  <c r="O424" i="1"/>
  <c r="P424" i="1"/>
  <c r="O279" i="1"/>
  <c r="M315" i="2"/>
  <c r="P315" i="2" s="1"/>
  <c r="P317" i="2"/>
  <c r="P422" i="1"/>
  <c r="O167" i="1"/>
  <c r="M631" i="2"/>
  <c r="P631" i="2" s="1"/>
  <c r="L315" i="2"/>
  <c r="O315" i="2" s="1"/>
  <c r="O317" i="2"/>
  <c r="N53" i="2"/>
  <c r="O53" i="2" s="1"/>
  <c r="O55" i="2"/>
  <c r="O391" i="2"/>
  <c r="O657" i="2"/>
  <c r="L655" i="2"/>
  <c r="O655" i="2" s="1"/>
  <c r="K522" i="2"/>
  <c r="K537" i="2"/>
  <c r="N345" i="2"/>
  <c r="O345" i="2" s="1"/>
  <c r="M13" i="1"/>
  <c r="M11" i="1" s="1"/>
  <c r="O209" i="1"/>
  <c r="N421" i="1"/>
  <c r="O421" i="1" s="1"/>
  <c r="P23" i="1"/>
  <c r="O690" i="1"/>
  <c r="L444" i="2"/>
  <c r="O444" i="2" s="1"/>
  <c r="P348" i="2"/>
  <c r="L132" i="2"/>
  <c r="O132" i="2" s="1"/>
  <c r="N181" i="2"/>
  <c r="O181" i="2" s="1"/>
  <c r="O36" i="2"/>
  <c r="L34" i="2"/>
  <c r="O34" i="2" s="1"/>
  <c r="N88" i="2"/>
  <c r="O90" i="2"/>
  <c r="O29" i="2"/>
  <c r="O238" i="2"/>
  <c r="L227" i="2"/>
  <c r="P90" i="2"/>
  <c r="L20" i="2"/>
  <c r="L21" i="2"/>
  <c r="L13" i="2"/>
  <c r="O23" i="2"/>
  <c r="P9" i="2"/>
  <c r="N446" i="1"/>
  <c r="P446" i="1" s="1"/>
  <c r="P660" i="1"/>
  <c r="J593" i="1"/>
  <c r="K593" i="1" s="1"/>
  <c r="K275" i="2"/>
  <c r="K433" i="2"/>
  <c r="M21" i="2"/>
  <c r="P23" i="2"/>
  <c r="M20" i="2"/>
  <c r="O44" i="2"/>
  <c r="O317" i="1"/>
  <c r="M525" i="2"/>
  <c r="M526" i="2"/>
  <c r="P526" i="2" s="1"/>
  <c r="P528" i="2"/>
  <c r="M33" i="2"/>
  <c r="M13" i="2" s="1"/>
  <c r="O9" i="2"/>
  <c r="P91" i="2"/>
  <c r="O91" i="2"/>
  <c r="O330" i="2"/>
  <c r="N328" i="2"/>
  <c r="O328" i="2" s="1"/>
  <c r="I64" i="2"/>
  <c r="K64" i="2" s="1"/>
  <c r="K76" i="2"/>
  <c r="P183" i="2"/>
  <c r="P347" i="2"/>
  <c r="M345" i="2"/>
  <c r="O687" i="2"/>
  <c r="L685" i="2"/>
  <c r="O685" i="2" s="1"/>
  <c r="N11" i="2"/>
  <c r="N9" i="2"/>
  <c r="P43" i="2"/>
  <c r="M41" i="2"/>
  <c r="M66" i="2"/>
  <c r="P66" i="2" s="1"/>
  <c r="O634" i="1"/>
  <c r="L181" i="1"/>
  <c r="O181" i="1" s="1"/>
  <c r="I131" i="2"/>
  <c r="K131" i="2" s="1"/>
  <c r="K143" i="2"/>
  <c r="I226" i="2"/>
  <c r="M132" i="2"/>
  <c r="P132" i="2" s="1"/>
  <c r="L277" i="2"/>
  <c r="O277" i="2" s="1"/>
  <c r="L66" i="2"/>
  <c r="P330" i="2"/>
  <c r="P152" i="1"/>
  <c r="O328" i="1"/>
  <c r="O660" i="1"/>
  <c r="I226" i="1"/>
  <c r="K226" i="1" s="1"/>
  <c r="P167" i="1"/>
  <c r="K434" i="1"/>
  <c r="O119" i="1"/>
  <c r="M24" i="1"/>
  <c r="M402" i="2"/>
  <c r="P402" i="2" s="1"/>
  <c r="M298" i="2"/>
  <c r="P298" i="2" s="1"/>
  <c r="K288" i="2"/>
  <c r="O15" i="2"/>
  <c r="P29" i="2"/>
  <c r="O26" i="2"/>
  <c r="L16" i="2"/>
  <c r="O16" i="2" s="1"/>
  <c r="L24" i="2"/>
  <c r="O41" i="2"/>
  <c r="L402" i="2"/>
  <c r="O402" i="2" s="1"/>
  <c r="P345" i="1"/>
  <c r="O88" i="1"/>
  <c r="N687" i="1"/>
  <c r="P687" i="1" s="1"/>
  <c r="O217" i="1"/>
  <c r="O300" i="1"/>
  <c r="P277" i="1"/>
  <c r="O134" i="1"/>
  <c r="O43" i="1"/>
  <c r="K98" i="1"/>
  <c r="L34" i="1"/>
  <c r="O34" i="1" s="1"/>
  <c r="O90" i="1"/>
  <c r="P546" i="1"/>
  <c r="P90" i="1"/>
  <c r="P528" i="1"/>
  <c r="N631" i="1"/>
  <c r="N629" i="1" s="1"/>
  <c r="P629" i="1" s="1"/>
  <c r="O330" i="1"/>
  <c r="L277" i="1"/>
  <c r="O277" i="1" s="1"/>
  <c r="M20" i="1"/>
  <c r="M18" i="1" s="1"/>
  <c r="L315" i="1"/>
  <c r="O315" i="1" s="1"/>
  <c r="O91" i="1"/>
  <c r="N525" i="1"/>
  <c r="P525" i="1" s="1"/>
  <c r="O528" i="1"/>
  <c r="N227" i="1"/>
  <c r="O68" i="1"/>
  <c r="P66" i="1"/>
  <c r="I418" i="1"/>
  <c r="K418" i="1" s="1"/>
  <c r="O66" i="1"/>
  <c r="O449" i="1"/>
  <c r="P43" i="1"/>
  <c r="L41" i="1"/>
  <c r="O41" i="1" s="1"/>
  <c r="M544" i="1"/>
  <c r="M414" i="1" s="1"/>
  <c r="P330" i="1"/>
  <c r="P328" i="1"/>
  <c r="L20" i="1"/>
  <c r="L18" i="1" s="1"/>
  <c r="O121" i="1"/>
  <c r="O238" i="1"/>
  <c r="P68" i="1"/>
  <c r="O688" i="1"/>
  <c r="P688" i="1"/>
  <c r="O261" i="1"/>
  <c r="L21" i="1"/>
  <c r="P121" i="1"/>
  <c r="M119" i="1"/>
  <c r="P119" i="1" s="1"/>
  <c r="K77" i="1"/>
  <c r="I65" i="1"/>
  <c r="K65" i="1" s="1"/>
  <c r="K669" i="1"/>
  <c r="N632" i="1"/>
  <c r="P632" i="1" s="1"/>
  <c r="O263" i="1"/>
  <c r="M132" i="1"/>
  <c r="P132" i="1" s="1"/>
  <c r="P181" i="1"/>
  <c r="P347" i="1"/>
  <c r="P300" i="1"/>
  <c r="M298" i="1"/>
  <c r="P298" i="1" s="1"/>
  <c r="O321" i="1"/>
  <c r="M31" i="1"/>
  <c r="M30" i="1"/>
  <c r="M28" i="1" s="1"/>
  <c r="O404" i="1"/>
  <c r="L402" i="1"/>
  <c r="L132" i="1"/>
  <c r="O132" i="1" s="1"/>
  <c r="N657" i="1"/>
  <c r="O657" i="1" s="1"/>
  <c r="P261" i="1"/>
  <c r="P279" i="1"/>
  <c r="O408" i="1"/>
  <c r="P526" i="1"/>
  <c r="O526" i="1"/>
  <c r="P658" i="1"/>
  <c r="P690" i="1"/>
  <c r="P317" i="1"/>
  <c r="M315" i="1"/>
  <c r="P315" i="1" s="1"/>
  <c r="O152" i="1"/>
  <c r="N402" i="1"/>
  <c r="P402" i="1" s="1"/>
  <c r="P404" i="1"/>
  <c r="P263" i="1"/>
  <c r="O347" i="1"/>
  <c r="L345" i="1"/>
  <c r="O345" i="1" s="1"/>
  <c r="M88" i="1"/>
  <c r="P88" i="1" s="1"/>
  <c r="M41" i="1"/>
  <c r="P41" i="1" s="1"/>
  <c r="J559" i="1"/>
  <c r="K576" i="1"/>
  <c r="O788" i="1"/>
  <c r="L786" i="1"/>
  <c r="O786" i="1" s="1"/>
  <c r="O546" i="1"/>
  <c r="L544" i="1"/>
  <c r="O544" i="1" s="1"/>
  <c r="O29" i="1"/>
  <c r="P55" i="1"/>
  <c r="O55" i="1"/>
  <c r="N53" i="1"/>
  <c r="P53" i="1" s="1"/>
  <c r="N9" i="1"/>
  <c r="N165" i="1"/>
  <c r="N24" i="1"/>
  <c r="N16" i="1"/>
  <c r="P26" i="1"/>
  <c r="O26" i="1"/>
  <c r="L16" i="1"/>
  <c r="P391" i="1"/>
  <c r="O391" i="1"/>
  <c r="N389" i="1"/>
  <c r="O12" i="1"/>
  <c r="L9" i="1"/>
  <c r="P12" i="1"/>
  <c r="M9" i="1"/>
  <c r="O19" i="1"/>
  <c r="N788" i="1"/>
  <c r="N786" i="1" s="1"/>
  <c r="N789" i="1"/>
  <c r="L629" i="1"/>
  <c r="N20" i="1"/>
  <c r="N18" i="1" s="1"/>
  <c r="P19" i="1"/>
  <c r="N21" i="1"/>
  <c r="L149" i="1"/>
  <c r="O149" i="1" s="1"/>
  <c r="L24" i="1"/>
  <c r="N469" i="1"/>
  <c r="N470" i="1"/>
  <c r="O470" i="1" s="1"/>
  <c r="N33" i="1"/>
  <c r="I64" i="1"/>
  <c r="K64" i="1" s="1"/>
  <c r="K76" i="1"/>
  <c r="P472" i="1"/>
  <c r="L523" i="1"/>
  <c r="O23" i="1"/>
  <c r="P261" i="13" l="1"/>
  <c r="M419" i="8"/>
  <c r="M467" i="11"/>
  <c r="P467" i="11" s="1"/>
  <c r="P328" i="13"/>
  <c r="P16" i="15"/>
  <c r="P345" i="12"/>
  <c r="P33" i="14"/>
  <c r="M13" i="14"/>
  <c r="M10" i="14" s="1"/>
  <c r="M30" i="14"/>
  <c r="P30" i="14" s="1"/>
  <c r="L28" i="15"/>
  <c r="O28" i="15" s="1"/>
  <c r="P261" i="14"/>
  <c r="O315" i="15"/>
  <c r="P20" i="15"/>
  <c r="M523" i="13"/>
  <c r="P523" i="13" s="1"/>
  <c r="N11" i="11"/>
  <c r="P14" i="12"/>
  <c r="P33" i="15"/>
  <c r="M30" i="15"/>
  <c r="M13" i="15"/>
  <c r="P13" i="15" s="1"/>
  <c r="M31" i="15"/>
  <c r="P31" i="15" s="1"/>
  <c r="N8" i="11"/>
  <c r="P16" i="12"/>
  <c r="N18" i="15"/>
  <c r="P18" i="15" s="1"/>
  <c r="L10" i="13"/>
  <c r="L8" i="13" s="1"/>
  <c r="P421" i="15"/>
  <c r="M419" i="15"/>
  <c r="P419" i="15" s="1"/>
  <c r="I180" i="15"/>
  <c r="K180" i="15" s="1"/>
  <c r="K226" i="15"/>
  <c r="N10" i="15"/>
  <c r="N8" i="15" s="1"/>
  <c r="N11" i="15"/>
  <c r="O13" i="13"/>
  <c r="L37" i="15"/>
  <c r="P66" i="15"/>
  <c r="O9" i="15"/>
  <c r="P444" i="15"/>
  <c r="O20" i="14"/>
  <c r="O13" i="15"/>
  <c r="L10" i="15"/>
  <c r="L11" i="15"/>
  <c r="P21" i="15"/>
  <c r="O20" i="15"/>
  <c r="L18" i="15"/>
  <c r="P181" i="15"/>
  <c r="P53" i="15"/>
  <c r="M37" i="15"/>
  <c r="N37" i="15"/>
  <c r="P9" i="15"/>
  <c r="L414" i="15"/>
  <c r="O414" i="15" s="1"/>
  <c r="O419" i="15"/>
  <c r="P165" i="14"/>
  <c r="N14" i="15"/>
  <c r="O14" i="15" s="1"/>
  <c r="O16" i="15"/>
  <c r="O16" i="14"/>
  <c r="O20" i="13"/>
  <c r="O13" i="11"/>
  <c r="L28" i="14"/>
  <c r="O28" i="14" s="1"/>
  <c r="P469" i="14"/>
  <c r="M467" i="14"/>
  <c r="P467" i="14" s="1"/>
  <c r="L14" i="14"/>
  <c r="O14" i="14" s="1"/>
  <c r="N10" i="14"/>
  <c r="N8" i="14" s="1"/>
  <c r="O13" i="12"/>
  <c r="L10" i="12"/>
  <c r="L8" i="12" s="1"/>
  <c r="P181" i="13"/>
  <c r="N37" i="14"/>
  <c r="L414" i="14"/>
  <c r="O414" i="14" s="1"/>
  <c r="K226" i="14"/>
  <c r="I180" i="14"/>
  <c r="K180" i="14" s="1"/>
  <c r="P16" i="14"/>
  <c r="M14" i="14"/>
  <c r="P14" i="14" s="1"/>
  <c r="L18" i="14"/>
  <c r="O18" i="14" s="1"/>
  <c r="O30" i="13"/>
  <c r="L28" i="13"/>
  <c r="O28" i="13" s="1"/>
  <c r="O165" i="13"/>
  <c r="L37" i="14"/>
  <c r="P546" i="14"/>
  <c r="M544" i="14"/>
  <c r="O21" i="14"/>
  <c r="O11" i="14"/>
  <c r="P20" i="14"/>
  <c r="M18" i="14"/>
  <c r="P18" i="14" s="1"/>
  <c r="O13" i="14"/>
  <c r="L10" i="14"/>
  <c r="P24" i="14"/>
  <c r="O9" i="14"/>
  <c r="M544" i="10"/>
  <c r="P544" i="10" s="1"/>
  <c r="O24" i="13"/>
  <c r="P18" i="13"/>
  <c r="P24" i="13"/>
  <c r="P21" i="14"/>
  <c r="M37" i="14"/>
  <c r="L28" i="9"/>
  <c r="O28" i="9" s="1"/>
  <c r="L11" i="11"/>
  <c r="O41" i="12"/>
  <c r="N37" i="13"/>
  <c r="O88" i="13"/>
  <c r="P20" i="13"/>
  <c r="L414" i="13"/>
  <c r="O414" i="13" s="1"/>
  <c r="P53" i="13"/>
  <c r="O53" i="13"/>
  <c r="P24" i="11"/>
  <c r="O24" i="11"/>
  <c r="L28" i="12"/>
  <c r="O28" i="12" s="1"/>
  <c r="O18" i="13"/>
  <c r="P33" i="13"/>
  <c r="M31" i="13"/>
  <c r="P31" i="13" s="1"/>
  <c r="M30" i="13"/>
  <c r="M13" i="13"/>
  <c r="P20" i="12"/>
  <c r="L37" i="13"/>
  <c r="O9" i="13"/>
  <c r="P21" i="12"/>
  <c r="P446" i="13"/>
  <c r="M444" i="13"/>
  <c r="P9" i="13"/>
  <c r="N10" i="13"/>
  <c r="N8" i="13" s="1"/>
  <c r="N11" i="13"/>
  <c r="O11" i="13" s="1"/>
  <c r="K226" i="13"/>
  <c r="I180" i="13"/>
  <c r="K180" i="13" s="1"/>
  <c r="M37" i="13"/>
  <c r="M544" i="13"/>
  <c r="P544" i="13" s="1"/>
  <c r="I180" i="12"/>
  <c r="K180" i="12" s="1"/>
  <c r="M467" i="13"/>
  <c r="P467" i="13" s="1"/>
  <c r="P469" i="13"/>
  <c r="P16" i="13"/>
  <c r="M14" i="13"/>
  <c r="P14" i="13" s="1"/>
  <c r="O16" i="13"/>
  <c r="L14" i="13"/>
  <c r="O14" i="13" s="1"/>
  <c r="L10" i="11"/>
  <c r="O10" i="11" s="1"/>
  <c r="N37" i="12"/>
  <c r="M37" i="12"/>
  <c r="P546" i="12"/>
  <c r="M544" i="12"/>
  <c r="P544" i="12" s="1"/>
  <c r="M30" i="10"/>
  <c r="P30" i="10" s="1"/>
  <c r="M13" i="10"/>
  <c r="M11" i="10" s="1"/>
  <c r="O20" i="11"/>
  <c r="N10" i="12"/>
  <c r="N8" i="12" s="1"/>
  <c r="N11" i="12"/>
  <c r="O11" i="12" s="1"/>
  <c r="P446" i="12"/>
  <c r="M444" i="12"/>
  <c r="O18" i="11"/>
  <c r="L37" i="12"/>
  <c r="O37" i="12" s="1"/>
  <c r="L414" i="12"/>
  <c r="O414" i="12" s="1"/>
  <c r="N18" i="12"/>
  <c r="P33" i="12"/>
  <c r="M31" i="12"/>
  <c r="P31" i="12" s="1"/>
  <c r="M30" i="12"/>
  <c r="M13" i="12"/>
  <c r="O16" i="12"/>
  <c r="L14" i="12"/>
  <c r="O14" i="12" s="1"/>
  <c r="O20" i="12"/>
  <c r="O9" i="12"/>
  <c r="O18" i="10"/>
  <c r="O16" i="11"/>
  <c r="L14" i="11"/>
  <c r="O14" i="11" s="1"/>
  <c r="P181" i="8"/>
  <c r="O21" i="10"/>
  <c r="M37" i="11"/>
  <c r="I180" i="11"/>
  <c r="K180" i="11" s="1"/>
  <c r="K226" i="11"/>
  <c r="P421" i="11"/>
  <c r="M419" i="11"/>
  <c r="L414" i="11"/>
  <c r="O419" i="11"/>
  <c r="M544" i="11"/>
  <c r="P544" i="11" s="1"/>
  <c r="M14" i="11"/>
  <c r="P14" i="11" s="1"/>
  <c r="N414" i="11"/>
  <c r="O629" i="11"/>
  <c r="P9" i="11"/>
  <c r="P33" i="11"/>
  <c r="M30" i="11"/>
  <c r="M31" i="11"/>
  <c r="P31" i="11" s="1"/>
  <c r="L37" i="11"/>
  <c r="M13" i="11"/>
  <c r="O30" i="11"/>
  <c r="L28" i="11"/>
  <c r="O28" i="11" s="1"/>
  <c r="P657" i="11"/>
  <c r="M655" i="11"/>
  <c r="P655" i="11" s="1"/>
  <c r="P261" i="11"/>
  <c r="N37" i="11"/>
  <c r="P20" i="11"/>
  <c r="M18" i="11"/>
  <c r="P18" i="11" s="1"/>
  <c r="O261" i="11"/>
  <c r="O9" i="11"/>
  <c r="P629" i="11"/>
  <c r="O24" i="10"/>
  <c r="L14" i="10"/>
  <c r="O14" i="10" s="1"/>
  <c r="L10" i="10"/>
  <c r="L8" i="10" s="1"/>
  <c r="P33" i="10"/>
  <c r="N8" i="2"/>
  <c r="N10" i="9"/>
  <c r="N8" i="9" s="1"/>
  <c r="I180" i="7"/>
  <c r="K180" i="7" s="1"/>
  <c r="O13" i="9"/>
  <c r="L10" i="9"/>
  <c r="P24" i="10"/>
  <c r="O11" i="9"/>
  <c r="L28" i="10"/>
  <c r="O28" i="10" s="1"/>
  <c r="P18" i="10"/>
  <c r="M419" i="10"/>
  <c r="P419" i="10" s="1"/>
  <c r="P421" i="10"/>
  <c r="P21" i="10"/>
  <c r="P16" i="10"/>
  <c r="M14" i="10"/>
  <c r="P14" i="10" s="1"/>
  <c r="N10" i="10"/>
  <c r="N8" i="10" s="1"/>
  <c r="N11" i="10"/>
  <c r="O11" i="10" s="1"/>
  <c r="O523" i="10"/>
  <c r="L414" i="10"/>
  <c r="O414" i="10" s="1"/>
  <c r="M37" i="10"/>
  <c r="O13" i="10"/>
  <c r="P9" i="10"/>
  <c r="P88" i="10"/>
  <c r="N37" i="10"/>
  <c r="O88" i="10"/>
  <c r="L37" i="10"/>
  <c r="O20" i="9"/>
  <c r="O9" i="10"/>
  <c r="K226" i="10"/>
  <c r="I180" i="10"/>
  <c r="K180" i="10" s="1"/>
  <c r="P20" i="10"/>
  <c r="P444" i="10"/>
  <c r="O20" i="10"/>
  <c r="O18" i="5"/>
  <c r="P546" i="9"/>
  <c r="M544" i="9"/>
  <c r="P544" i="9" s="1"/>
  <c r="L10" i="6"/>
  <c r="L8" i="6" s="1"/>
  <c r="O41" i="7"/>
  <c r="P16" i="9"/>
  <c r="O345" i="9"/>
  <c r="P345" i="9"/>
  <c r="P328" i="9"/>
  <c r="P18" i="9"/>
  <c r="P33" i="9"/>
  <c r="M30" i="9"/>
  <c r="M31" i="9"/>
  <c r="P31" i="9" s="1"/>
  <c r="P9" i="9"/>
  <c r="O16" i="9"/>
  <c r="K226" i="9"/>
  <c r="I180" i="9"/>
  <c r="K180" i="9" s="1"/>
  <c r="N37" i="9"/>
  <c r="P20" i="9"/>
  <c r="P14" i="9"/>
  <c r="O41" i="9"/>
  <c r="L37" i="9"/>
  <c r="L414" i="9"/>
  <c r="O414" i="9" s="1"/>
  <c r="L18" i="9"/>
  <c r="O18" i="9" s="1"/>
  <c r="P446" i="9"/>
  <c r="M444" i="9"/>
  <c r="O14" i="6"/>
  <c r="M13" i="9"/>
  <c r="L14" i="9"/>
  <c r="O14" i="9" s="1"/>
  <c r="M37" i="9"/>
  <c r="P165" i="8"/>
  <c r="O165" i="8"/>
  <c r="L28" i="7"/>
  <c r="O28" i="7" s="1"/>
  <c r="P53" i="8"/>
  <c r="O30" i="8"/>
  <c r="L28" i="8"/>
  <c r="O28" i="8" s="1"/>
  <c r="P469" i="8"/>
  <c r="M467" i="8"/>
  <c r="P467" i="8" s="1"/>
  <c r="P20" i="8"/>
  <c r="P546" i="8"/>
  <c r="M544" i="8"/>
  <c r="P544" i="8" s="1"/>
  <c r="P261" i="2"/>
  <c r="N10" i="8"/>
  <c r="N8" i="8" s="1"/>
  <c r="N11" i="8"/>
  <c r="P88" i="8"/>
  <c r="M37" i="8"/>
  <c r="M14" i="8"/>
  <c r="P14" i="8" s="1"/>
  <c r="N37" i="8"/>
  <c r="P41" i="8"/>
  <c r="K226" i="8"/>
  <c r="I180" i="8"/>
  <c r="K180" i="8" s="1"/>
  <c r="L37" i="8"/>
  <c r="O41" i="8"/>
  <c r="P33" i="8"/>
  <c r="M31" i="8"/>
  <c r="P31" i="8" s="1"/>
  <c r="M30" i="8"/>
  <c r="M13" i="8"/>
  <c r="O13" i="8"/>
  <c r="L10" i="8"/>
  <c r="L11" i="8"/>
  <c r="M18" i="8"/>
  <c r="P18" i="8" s="1"/>
  <c r="O20" i="8"/>
  <c r="L18" i="8"/>
  <c r="O18" i="8" s="1"/>
  <c r="L414" i="8"/>
  <c r="O414" i="8" s="1"/>
  <c r="P9" i="8"/>
  <c r="P419" i="8"/>
  <c r="L28" i="4"/>
  <c r="O28" i="4" s="1"/>
  <c r="O16" i="8"/>
  <c r="L14" i="8"/>
  <c r="O14" i="8" s="1"/>
  <c r="M444" i="8"/>
  <c r="P444" i="8" s="1"/>
  <c r="P446" i="8"/>
  <c r="P687" i="8"/>
  <c r="M685" i="8"/>
  <c r="P685" i="8" s="1"/>
  <c r="P24" i="8"/>
  <c r="P88" i="7"/>
  <c r="P20" i="6"/>
  <c r="M544" i="7"/>
  <c r="P544" i="7" s="1"/>
  <c r="P20" i="7"/>
  <c r="O16" i="6"/>
  <c r="N37" i="7"/>
  <c r="P24" i="7"/>
  <c r="O261" i="7"/>
  <c r="P261" i="4"/>
  <c r="P24" i="6"/>
  <c r="O21" i="7"/>
  <c r="P14" i="7"/>
  <c r="P469" i="7"/>
  <c r="O119" i="5"/>
  <c r="P446" i="7"/>
  <c r="M444" i="7"/>
  <c r="O24" i="7"/>
  <c r="P9" i="7"/>
  <c r="P66" i="7"/>
  <c r="M37" i="7"/>
  <c r="N10" i="7"/>
  <c r="N8" i="7" s="1"/>
  <c r="O16" i="7"/>
  <c r="L14" i="7"/>
  <c r="O14" i="7" s="1"/>
  <c r="N11" i="7"/>
  <c r="P53" i="7"/>
  <c r="O53" i="7"/>
  <c r="L37" i="7"/>
  <c r="P18" i="7"/>
  <c r="P33" i="7"/>
  <c r="M30" i="7"/>
  <c r="M31" i="7"/>
  <c r="P31" i="7" s="1"/>
  <c r="M13" i="7"/>
  <c r="P16" i="7"/>
  <c r="O13" i="7"/>
  <c r="L10" i="7"/>
  <c r="L11" i="7"/>
  <c r="P657" i="7"/>
  <c r="M655" i="7"/>
  <c r="P655" i="7" s="1"/>
  <c r="L414" i="7"/>
  <c r="O414" i="7" s="1"/>
  <c r="O20" i="7"/>
  <c r="L18" i="7"/>
  <c r="O18" i="7" s="1"/>
  <c r="N414" i="7"/>
  <c r="N37" i="5"/>
  <c r="O18" i="6"/>
  <c r="P14" i="6"/>
  <c r="M10" i="1"/>
  <c r="M8" i="1" s="1"/>
  <c r="M18" i="6"/>
  <c r="P18" i="6" s="1"/>
  <c r="P21" i="6"/>
  <c r="O20" i="6"/>
  <c r="P33" i="6"/>
  <c r="M30" i="6"/>
  <c r="M31" i="6"/>
  <c r="L28" i="6"/>
  <c r="P469" i="6"/>
  <c r="M467" i="6"/>
  <c r="M37" i="6"/>
  <c r="M685" i="6"/>
  <c r="P685" i="6" s="1"/>
  <c r="P687" i="6"/>
  <c r="N30" i="6"/>
  <c r="N28" i="6" s="1"/>
  <c r="N31" i="6"/>
  <c r="O31" i="6" s="1"/>
  <c r="K226" i="6"/>
  <c r="I180" i="6"/>
  <c r="K180" i="6" s="1"/>
  <c r="L414" i="6"/>
  <c r="O414" i="6" s="1"/>
  <c r="P345" i="6"/>
  <c r="L37" i="6"/>
  <c r="M13" i="6"/>
  <c r="N13" i="6"/>
  <c r="P546" i="6"/>
  <c r="M544" i="6"/>
  <c r="P544" i="6" s="1"/>
  <c r="N37" i="6"/>
  <c r="P24" i="5"/>
  <c r="O24" i="5"/>
  <c r="O21" i="5"/>
  <c r="O88" i="4"/>
  <c r="P16" i="5"/>
  <c r="P547" i="1"/>
  <c r="O24" i="2"/>
  <c r="O181" i="4"/>
  <c r="O13" i="5"/>
  <c r="L10" i="5"/>
  <c r="M37" i="5"/>
  <c r="P631" i="5"/>
  <c r="M629" i="5"/>
  <c r="P629" i="5" s="1"/>
  <c r="N444" i="1"/>
  <c r="O444" i="1" s="1"/>
  <c r="O20" i="5"/>
  <c r="O419" i="5"/>
  <c r="L414" i="5"/>
  <c r="O414" i="5" s="1"/>
  <c r="P9" i="5"/>
  <c r="M14" i="5"/>
  <c r="P14" i="5" s="1"/>
  <c r="N10" i="5"/>
  <c r="N8" i="5" s="1"/>
  <c r="N11" i="5"/>
  <c r="K226" i="5"/>
  <c r="I180" i="5"/>
  <c r="K180" i="5" s="1"/>
  <c r="O9" i="5"/>
  <c r="P421" i="5"/>
  <c r="M419" i="5"/>
  <c r="P20" i="5"/>
  <c r="M18" i="5"/>
  <c r="P18" i="5" s="1"/>
  <c r="O16" i="5"/>
  <c r="L14" i="5"/>
  <c r="O14" i="5" s="1"/>
  <c r="L11" i="5"/>
  <c r="O53" i="5"/>
  <c r="L37" i="5"/>
  <c r="O30" i="5"/>
  <c r="L28" i="5"/>
  <c r="O28" i="5" s="1"/>
  <c r="P469" i="5"/>
  <c r="M467" i="5"/>
  <c r="P467" i="5" s="1"/>
  <c r="P546" i="5"/>
  <c r="M544" i="5"/>
  <c r="P544" i="5" s="1"/>
  <c r="P33" i="5"/>
  <c r="M30" i="5"/>
  <c r="M13" i="5"/>
  <c r="M31" i="5"/>
  <c r="P31" i="5" s="1"/>
  <c r="L28" i="2"/>
  <c r="O28" i="2" s="1"/>
  <c r="O21" i="2"/>
  <c r="O18" i="3"/>
  <c r="O21" i="4"/>
  <c r="M14" i="2"/>
  <c r="P14" i="2" s="1"/>
  <c r="P469" i="4"/>
  <c r="M467" i="4"/>
  <c r="P467" i="4" s="1"/>
  <c r="L37" i="4"/>
  <c r="P469" i="3"/>
  <c r="P21" i="2"/>
  <c r="P421" i="4"/>
  <c r="O447" i="1"/>
  <c r="P13" i="4"/>
  <c r="M10" i="4"/>
  <c r="N37" i="4"/>
  <c r="M544" i="4"/>
  <c r="P544" i="4" s="1"/>
  <c r="P9" i="4"/>
  <c r="P20" i="4"/>
  <c r="M18" i="4"/>
  <c r="P18" i="4" s="1"/>
  <c r="L414" i="4"/>
  <c r="O414" i="4" s="1"/>
  <c r="O419" i="4"/>
  <c r="M444" i="4"/>
  <c r="P444" i="4" s="1"/>
  <c r="P446" i="4"/>
  <c r="N10" i="4"/>
  <c r="N8" i="4" s="1"/>
  <c r="N11" i="4"/>
  <c r="P11" i="4" s="1"/>
  <c r="O14" i="3"/>
  <c r="O13" i="4"/>
  <c r="L10" i="4"/>
  <c r="L11" i="4"/>
  <c r="I180" i="4"/>
  <c r="K180" i="4" s="1"/>
  <c r="K226" i="4"/>
  <c r="O24" i="4"/>
  <c r="P24" i="4"/>
  <c r="P419" i="4"/>
  <c r="P53" i="2"/>
  <c r="M37" i="4"/>
  <c r="M30" i="4"/>
  <c r="P33" i="4"/>
  <c r="M31" i="4"/>
  <c r="P31" i="4" s="1"/>
  <c r="O20" i="4"/>
  <c r="L18" i="4"/>
  <c r="O18" i="4" s="1"/>
  <c r="N14" i="4"/>
  <c r="O14" i="4" s="1"/>
  <c r="O16" i="4"/>
  <c r="P16" i="4"/>
  <c r="M37" i="3"/>
  <c r="L28" i="3"/>
  <c r="O28" i="3" s="1"/>
  <c r="P421" i="1"/>
  <c r="O20" i="3"/>
  <c r="I180" i="3"/>
  <c r="K180" i="3" s="1"/>
  <c r="K226" i="3"/>
  <c r="P16" i="3"/>
  <c r="M14" i="3"/>
  <c r="P14" i="3" s="1"/>
  <c r="L37" i="3"/>
  <c r="O41" i="3"/>
  <c r="N414" i="3"/>
  <c r="P467" i="3"/>
  <c r="O24" i="3"/>
  <c r="O16" i="3"/>
  <c r="M544" i="3"/>
  <c r="P544" i="3" s="1"/>
  <c r="P132" i="3"/>
  <c r="O13" i="3"/>
  <c r="L10" i="3"/>
  <c r="L8" i="3" s="1"/>
  <c r="P24" i="3"/>
  <c r="N11" i="3"/>
  <c r="N10" i="3"/>
  <c r="N8" i="3" s="1"/>
  <c r="P21" i="3"/>
  <c r="O9" i="3"/>
  <c r="M31" i="3"/>
  <c r="P31" i="3" s="1"/>
  <c r="M30" i="3"/>
  <c r="P33" i="3"/>
  <c r="M13" i="3"/>
  <c r="P9" i="3"/>
  <c r="P315" i="3"/>
  <c r="P345" i="2"/>
  <c r="M467" i="2"/>
  <c r="P467" i="2" s="1"/>
  <c r="P18" i="3"/>
  <c r="L11" i="3"/>
  <c r="P446" i="3"/>
  <c r="M444" i="3"/>
  <c r="P20" i="3"/>
  <c r="N37" i="3"/>
  <c r="L414" i="3"/>
  <c r="J592" i="1"/>
  <c r="K592" i="1" s="1"/>
  <c r="L14" i="2"/>
  <c r="O14" i="2" s="1"/>
  <c r="P328" i="2"/>
  <c r="I180" i="1"/>
  <c r="K180" i="1" s="1"/>
  <c r="L414" i="2"/>
  <c r="O414" i="2" s="1"/>
  <c r="N37" i="2"/>
  <c r="O24" i="1"/>
  <c r="O525" i="1"/>
  <c r="P24" i="1"/>
  <c r="N523" i="1"/>
  <c r="P523" i="1" s="1"/>
  <c r="M629" i="2"/>
  <c r="P629" i="2" s="1"/>
  <c r="N419" i="1"/>
  <c r="P181" i="2"/>
  <c r="O446" i="1"/>
  <c r="P631" i="1"/>
  <c r="P525" i="2"/>
  <c r="M523" i="2"/>
  <c r="P20" i="2"/>
  <c r="M18" i="2"/>
  <c r="P18" i="2" s="1"/>
  <c r="K226" i="2"/>
  <c r="I180" i="2"/>
  <c r="K180" i="2" s="1"/>
  <c r="P13" i="2"/>
  <c r="M10" i="2"/>
  <c r="M11" i="2"/>
  <c r="P11" i="2" s="1"/>
  <c r="O13" i="2"/>
  <c r="L10" i="2"/>
  <c r="L11" i="2"/>
  <c r="O11" i="2" s="1"/>
  <c r="P33" i="2"/>
  <c r="M30" i="2"/>
  <c r="M31" i="2"/>
  <c r="P31" i="2" s="1"/>
  <c r="O632" i="1"/>
  <c r="O66" i="2"/>
  <c r="L37" i="2"/>
  <c r="O20" i="2"/>
  <c r="L18" i="2"/>
  <c r="O18" i="2" s="1"/>
  <c r="M37" i="2"/>
  <c r="P37" i="2" s="1"/>
  <c r="P41" i="2"/>
  <c r="P88" i="2"/>
  <c r="O88" i="2"/>
  <c r="O629" i="1"/>
  <c r="L414" i="1"/>
  <c r="P470" i="1"/>
  <c r="O631" i="1"/>
  <c r="O402" i="1"/>
  <c r="N685" i="1"/>
  <c r="O687" i="1"/>
  <c r="P544" i="1"/>
  <c r="M37" i="1"/>
  <c r="N655" i="1"/>
  <c r="P657" i="1"/>
  <c r="P20" i="1"/>
  <c r="N30" i="1"/>
  <c r="P33" i="1"/>
  <c r="N31" i="1"/>
  <c r="O33" i="1"/>
  <c r="O16" i="1"/>
  <c r="L14" i="1"/>
  <c r="L10" i="1"/>
  <c r="P18" i="1"/>
  <c r="O18" i="1"/>
  <c r="O9" i="1"/>
  <c r="O165" i="1"/>
  <c r="P165" i="1"/>
  <c r="N467" i="1"/>
  <c r="O469" i="1"/>
  <c r="P469" i="1"/>
  <c r="N13" i="1"/>
  <c r="P9" i="1"/>
  <c r="O389" i="1"/>
  <c r="P389" i="1"/>
  <c r="N37" i="1"/>
  <c r="O53" i="1"/>
  <c r="L37" i="1"/>
  <c r="O21" i="1"/>
  <c r="P21" i="1"/>
  <c r="O20" i="1"/>
  <c r="N14" i="1"/>
  <c r="P14" i="1" s="1"/>
  <c r="P16" i="1"/>
  <c r="J543" i="1"/>
  <c r="K543" i="1" s="1"/>
  <c r="K559" i="1"/>
  <c r="P37" i="9" l="1"/>
  <c r="P13" i="14"/>
  <c r="M28" i="14"/>
  <c r="P28" i="14" s="1"/>
  <c r="M11" i="14"/>
  <c r="P11" i="14" s="1"/>
  <c r="O10" i="15"/>
  <c r="O11" i="11"/>
  <c r="P37" i="13"/>
  <c r="O18" i="15"/>
  <c r="O37" i="15"/>
  <c r="P14" i="15"/>
  <c r="M414" i="15"/>
  <c r="P414" i="15" s="1"/>
  <c r="L8" i="15"/>
  <c r="O8" i="15" s="1"/>
  <c r="M11" i="15"/>
  <c r="P11" i="15" s="1"/>
  <c r="M10" i="15"/>
  <c r="P30" i="15"/>
  <c r="M28" i="15"/>
  <c r="P28" i="15" s="1"/>
  <c r="P37" i="15"/>
  <c r="O37" i="13"/>
  <c r="O11" i="15"/>
  <c r="O10" i="14"/>
  <c r="P37" i="14"/>
  <c r="O37" i="14"/>
  <c r="P544" i="14"/>
  <c r="M414" i="14"/>
  <c r="P414" i="14" s="1"/>
  <c r="O10" i="13"/>
  <c r="P10" i="14"/>
  <c r="M8" i="14"/>
  <c r="P8" i="14" s="1"/>
  <c r="L8" i="14"/>
  <c r="O8" i="14" s="1"/>
  <c r="P37" i="12"/>
  <c r="P444" i="13"/>
  <c r="M414" i="13"/>
  <c r="P414" i="13" s="1"/>
  <c r="P13" i="13"/>
  <c r="M10" i="13"/>
  <c r="M11" i="13"/>
  <c r="P11" i="13" s="1"/>
  <c r="P30" i="13"/>
  <c r="M28" i="13"/>
  <c r="P28" i="13" s="1"/>
  <c r="O8" i="13"/>
  <c r="L8" i="11"/>
  <c r="O8" i="11" s="1"/>
  <c r="O8" i="12"/>
  <c r="M10" i="10"/>
  <c r="M8" i="10" s="1"/>
  <c r="P8" i="10" s="1"/>
  <c r="P13" i="10"/>
  <c r="M28" i="10"/>
  <c r="P28" i="10" s="1"/>
  <c r="O18" i="12"/>
  <c r="P18" i="12"/>
  <c r="M10" i="12"/>
  <c r="P13" i="12"/>
  <c r="M11" i="12"/>
  <c r="P11" i="12" s="1"/>
  <c r="P30" i="12"/>
  <c r="M28" i="12"/>
  <c r="P28" i="12" s="1"/>
  <c r="P444" i="12"/>
  <c r="M414" i="12"/>
  <c r="P414" i="12" s="1"/>
  <c r="O10" i="12"/>
  <c r="P37" i="11"/>
  <c r="O37" i="11"/>
  <c r="O414" i="11"/>
  <c r="P13" i="11"/>
  <c r="M10" i="11"/>
  <c r="M11" i="11"/>
  <c r="P11" i="11" s="1"/>
  <c r="P419" i="11"/>
  <c r="M414" i="11"/>
  <c r="P414" i="11" s="1"/>
  <c r="M414" i="10"/>
  <c r="P414" i="10" s="1"/>
  <c r="P37" i="7"/>
  <c r="P30" i="11"/>
  <c r="M28" i="11"/>
  <c r="P28" i="11" s="1"/>
  <c r="O10" i="9"/>
  <c r="O37" i="10"/>
  <c r="O10" i="10"/>
  <c r="L8" i="9"/>
  <c r="O8" i="9" s="1"/>
  <c r="O8" i="10"/>
  <c r="P10" i="10"/>
  <c r="P37" i="10"/>
  <c r="P11" i="10"/>
  <c r="P13" i="9"/>
  <c r="M10" i="9"/>
  <c r="M11" i="9"/>
  <c r="P11" i="9" s="1"/>
  <c r="O37" i="9"/>
  <c r="P444" i="9"/>
  <c r="M414" i="9"/>
  <c r="P414" i="9" s="1"/>
  <c r="P30" i="9"/>
  <c r="M28" i="9"/>
  <c r="P28" i="9" s="1"/>
  <c r="O11" i="8"/>
  <c r="O37" i="7"/>
  <c r="O37" i="8"/>
  <c r="P37" i="8"/>
  <c r="P13" i="8"/>
  <c r="M10" i="8"/>
  <c r="M11" i="8"/>
  <c r="P11" i="8" s="1"/>
  <c r="M28" i="8"/>
  <c r="P28" i="8" s="1"/>
  <c r="P30" i="8"/>
  <c r="M414" i="8"/>
  <c r="P414" i="8" s="1"/>
  <c r="O10" i="8"/>
  <c r="L8" i="8"/>
  <c r="O8" i="8" s="1"/>
  <c r="P37" i="5"/>
  <c r="O11" i="7"/>
  <c r="O37" i="5"/>
  <c r="O10" i="7"/>
  <c r="L8" i="7"/>
  <c r="O8" i="7" s="1"/>
  <c r="P30" i="7"/>
  <c r="M28" i="7"/>
  <c r="P28" i="7" s="1"/>
  <c r="P444" i="7"/>
  <c r="M414" i="7"/>
  <c r="P414" i="7" s="1"/>
  <c r="P13" i="7"/>
  <c r="M10" i="7"/>
  <c r="M11" i="7"/>
  <c r="P11" i="7" s="1"/>
  <c r="O37" i="6"/>
  <c r="P37" i="6"/>
  <c r="N10" i="6"/>
  <c r="O13" i="6"/>
  <c r="N11" i="6"/>
  <c r="O11" i="6" s="1"/>
  <c r="O30" i="6"/>
  <c r="P13" i="6"/>
  <c r="M10" i="6"/>
  <c r="M11" i="6"/>
  <c r="P467" i="6"/>
  <c r="M414" i="6"/>
  <c r="P414" i="6" s="1"/>
  <c r="P31" i="6"/>
  <c r="P30" i="6"/>
  <c r="M28" i="6"/>
  <c r="P28" i="6" s="1"/>
  <c r="O28" i="6"/>
  <c r="P444" i="1"/>
  <c r="O10" i="5"/>
  <c r="O11" i="5"/>
  <c r="P30" i="5"/>
  <c r="M28" i="5"/>
  <c r="P28" i="5" s="1"/>
  <c r="M10" i="5"/>
  <c r="P13" i="5"/>
  <c r="M11" i="5"/>
  <c r="P11" i="5" s="1"/>
  <c r="M414" i="5"/>
  <c r="P414" i="5" s="1"/>
  <c r="P419" i="5"/>
  <c r="O37" i="4"/>
  <c r="L8" i="5"/>
  <c r="O8" i="5" s="1"/>
  <c r="P10" i="4"/>
  <c r="P37" i="4"/>
  <c r="O11" i="4"/>
  <c r="P30" i="4"/>
  <c r="M28" i="4"/>
  <c r="P28" i="4" s="1"/>
  <c r="P37" i="3"/>
  <c r="P14" i="4"/>
  <c r="M8" i="4"/>
  <c r="P8" i="4" s="1"/>
  <c r="M414" i="4"/>
  <c r="P414" i="4" s="1"/>
  <c r="O10" i="4"/>
  <c r="L8" i="4"/>
  <c r="O8" i="4" s="1"/>
  <c r="O11" i="3"/>
  <c r="P444" i="3"/>
  <c r="M414" i="3"/>
  <c r="P414" i="3" s="1"/>
  <c r="O37" i="2"/>
  <c r="P30" i="3"/>
  <c r="M28" i="3"/>
  <c r="P28" i="3" s="1"/>
  <c r="O37" i="3"/>
  <c r="O414" i="3"/>
  <c r="O8" i="3"/>
  <c r="O10" i="3"/>
  <c r="P13" i="3"/>
  <c r="M10" i="3"/>
  <c r="M11" i="3"/>
  <c r="P11" i="3" s="1"/>
  <c r="O523" i="1"/>
  <c r="P419" i="1"/>
  <c r="O419" i="1"/>
  <c r="P30" i="2"/>
  <c r="M28" i="2"/>
  <c r="P28" i="2" s="1"/>
  <c r="P10" i="2"/>
  <c r="M8" i="2"/>
  <c r="P8" i="2" s="1"/>
  <c r="P523" i="2"/>
  <c r="M414" i="2"/>
  <c r="P414" i="2" s="1"/>
  <c r="O10" i="2"/>
  <c r="L8" i="2"/>
  <c r="O8" i="2" s="1"/>
  <c r="O685" i="1"/>
  <c r="P685" i="1"/>
  <c r="P37" i="1"/>
  <c r="O37" i="1"/>
  <c r="O655" i="1"/>
  <c r="P655" i="1"/>
  <c r="N10" i="1"/>
  <c r="N11" i="1"/>
  <c r="P13" i="1"/>
  <c r="O13" i="1"/>
  <c r="L8" i="1"/>
  <c r="O14" i="1"/>
  <c r="P31" i="1"/>
  <c r="O31" i="1"/>
  <c r="P467" i="1"/>
  <c r="O467" i="1"/>
  <c r="N414" i="1"/>
  <c r="P30" i="1"/>
  <c r="N28" i="1"/>
  <c r="O30" i="1"/>
  <c r="P10" i="15" l="1"/>
  <c r="M8" i="15"/>
  <c r="P8" i="15" s="1"/>
  <c r="P10" i="13"/>
  <c r="M8" i="13"/>
  <c r="P8" i="13" s="1"/>
  <c r="P10" i="12"/>
  <c r="M8" i="12"/>
  <c r="P8" i="12" s="1"/>
  <c r="P10" i="11"/>
  <c r="M8" i="11"/>
  <c r="P8" i="11" s="1"/>
  <c r="P10" i="9"/>
  <c r="M8" i="9"/>
  <c r="P8" i="9" s="1"/>
  <c r="P10" i="8"/>
  <c r="M8" i="8"/>
  <c r="P8" i="8" s="1"/>
  <c r="P11" i="6"/>
  <c r="P10" i="7"/>
  <c r="M8" i="7"/>
  <c r="P8" i="7" s="1"/>
  <c r="P10" i="6"/>
  <c r="M8" i="6"/>
  <c r="N8" i="6"/>
  <c r="O8" i="6" s="1"/>
  <c r="O10" i="6"/>
  <c r="P10" i="5"/>
  <c r="M8" i="5"/>
  <c r="P8" i="5" s="1"/>
  <c r="P10" i="3"/>
  <c r="M8" i="3"/>
  <c r="P8" i="3" s="1"/>
  <c r="O414" i="1"/>
  <c r="P414" i="1"/>
  <c r="O11" i="1"/>
  <c r="P11" i="1"/>
  <c r="P28" i="1"/>
  <c r="O28" i="1"/>
  <c r="P10" i="1"/>
  <c r="N8" i="1"/>
  <c r="P8" i="1" s="1"/>
  <c r="O10" i="1"/>
  <c r="P8" i="6" l="1"/>
  <c r="O8" i="1"/>
</calcChain>
</file>

<file path=xl/sharedStrings.xml><?xml version="1.0" encoding="utf-8"?>
<sst xmlns="http://schemas.openxmlformats.org/spreadsheetml/2006/main" count="23314" uniqueCount="355">
  <si>
    <t>รายละเอียดแผนงาน/โครงการ ผลผลิต/กิจกรรม ปีงบประมาณ พ.ศ. 2566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</si>
  <si>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</si>
  <si>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</si>
  <si>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</si>
  <si>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</si>
  <si>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</si>
  <si>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</si>
  <si>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</si>
  <si>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</si>
  <si>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</si>
  <si>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</si>
  <si>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</si>
  <si>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</si>
  <si>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</si>
  <si>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</si>
  <si>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</si>
  <si>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</si>
  <si>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</si>
  <si>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</si>
  <si>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</si>
  <si>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</si>
  <si>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</si>
  <si>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</si>
  <si>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</si>
  <si>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</si>
  <si>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</si>
  <si>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</si>
  <si>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</si>
  <si>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</si>
  <si>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</si>
  <si>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</si>
  <si>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</si>
  <si>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</si>
  <si>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</si>
  <si>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</si>
  <si>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</si>
  <si>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</si>
  <si>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</si>
  <si>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</si>
  <si>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</si>
  <si>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</si>
  <si>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</si>
  <si>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</si>
  <si>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</si>
  <si>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</si>
  <si>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</si>
  <si>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</si>
  <si>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</si>
  <si>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</si>
  <si>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</si>
  <si>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</si>
  <si>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</si>
  <si>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</si>
  <si>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</si>
  <si>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</si>
  <si>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</si>
  <si>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</si>
  <si>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</si>
  <si>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</si>
  <si>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</si>
  <si>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</si>
  <si>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</si>
  <si>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</si>
  <si>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</si>
  <si>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</si>
  <si>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</si>
  <si>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</si>
  <si>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</si>
  <si>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</si>
  <si>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</si>
  <si>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</si>
  <si>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</si>
  <si>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</si>
  <si>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</si>
  <si>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</si>
  <si>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</si>
  <si>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</si>
  <si>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</si>
  <si>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</si>
  <si>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</si>
  <si>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</si>
  <si>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</si>
  <si>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</si>
  <si>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</si>
  <si>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</si>
  <si>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</si>
  <si>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</si>
  <si>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</si>
  <si>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</si>
  <si>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</si>
  <si>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</si>
  <si>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</si>
  <si>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</si>
  <si>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</si>
  <si>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</si>
  <si>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</si>
  <si>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</si>
  <si>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</si>
  <si>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</si>
  <si>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</si>
  <si>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</si>
  <si>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</si>
  <si>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</si>
  <si>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</si>
  <si>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</si>
  <si>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</si>
  <si>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</si>
  <si>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</si>
  <si>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</si>
  <si>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</si>
  <si>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</si>
  <si>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</si>
  <si>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</si>
  <si>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</si>
  <si>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</si>
  <si>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</si>
  <si>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</si>
  <si>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</si>
  <si>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</si>
  <si>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</si>
  <si>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</si>
  <si>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</si>
  <si>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</si>
  <si>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</si>
  <si>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</si>
  <si>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</si>
  <si>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</si>
  <si>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</si>
  <si>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</si>
  <si>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</si>
  <si>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</si>
  <si>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</si>
  <si>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</si>
  <si>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</si>
  <si>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</si>
  <si>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</si>
  <si>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</si>
  <si>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</si>
  <si>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</si>
  <si>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</si>
  <si>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</si>
  <si>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</si>
  <si>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</si>
  <si>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</si>
  <si>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</si>
  <si>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</si>
  <si>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</si>
  <si>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</si>
  <si>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</si>
  <si>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</si>
  <si>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</si>
  <si>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</si>
  <si>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</si>
  <si>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</si>
  <si>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</si>
  <si>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</si>
  <si>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</si>
  <si>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</si>
  <si>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</si>
  <si>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</si>
  <si>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</si>
  <si>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</si>
  <si>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</si>
  <si>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</si>
  <si>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</si>
  <si>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</si>
  <si>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</si>
  <si>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</si>
  <si>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</si>
  <si>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</si>
  <si>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</si>
  <si>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</si>
  <si>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</si>
  <si>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</si>
  <si>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</si>
  <si>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</si>
  <si>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</si>
  <si>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</si>
  <si>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</si>
  <si>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</si>
  <si>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</si>
  <si>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</si>
  <si>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</si>
  <si>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</si>
  <si>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</si>
  <si>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</si>
  <si>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</si>
  <si>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</si>
  <si>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</si>
  <si>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</si>
  <si>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</si>
  <si>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</si>
  <si>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</si>
  <si>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</si>
  <si>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</si>
  <si>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</si>
  <si>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</si>
  <si>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</si>
  <si>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</si>
  <si>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</si>
  <si>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</si>
  <si>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</si>
  <si>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</si>
  <si>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</si>
  <si>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</si>
  <si>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</si>
  <si>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</si>
  <si>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</si>
  <si>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</si>
  <si>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</si>
  <si>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</si>
  <si>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</si>
  <si>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</si>
  <si>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</si>
  <si>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</si>
  <si>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</si>
  <si>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</si>
  <si>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</si>
  <si>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</si>
  <si>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</si>
  <si>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</si>
  <si>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</si>
  <si>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</si>
  <si>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</si>
  <si>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</si>
  <si>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</si>
  <si>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</si>
  <si>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</si>
  <si>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</si>
  <si>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</si>
  <si>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</si>
  <si>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</si>
  <si>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</si>
  <si>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</si>
  <si>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</si>
  <si>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</si>
  <si>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</si>
  <si>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</si>
  <si>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</si>
  <si>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</si>
  <si>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</si>
  <si>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</si>
  <si>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</si>
  <si>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</si>
  <si>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</si>
  <si>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</si>
  <si>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</si>
  <si>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</si>
  <si>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</si>
  <si>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</si>
  <si>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</si>
  <si>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</si>
  <si>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</si>
  <si>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</si>
  <si>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</si>
  <si>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</si>
  <si>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</si>
  <si>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</si>
  <si>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</si>
  <si>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</si>
  <si>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</si>
  <si>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</si>
  <si>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</si>
  <si>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</si>
  <si>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</si>
  <si>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</si>
  <si>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</si>
  <si>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</si>
  <si>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</si>
  <si>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</si>
  <si>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</si>
  <si>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</si>
  <si>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</si>
  <si>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</si>
  <si>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</si>
  <si>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</si>
  <si>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</si>
  <si>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</si>
  <si>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</si>
  <si>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</si>
  <si>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</si>
  <si>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</si>
  <si>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</si>
  <si>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</si>
  <si>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</si>
  <si>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</si>
  <si>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</si>
  <si>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</si>
  <si>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</si>
  <si>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</si>
  <si>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</si>
  <si>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</si>
  <si>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</si>
  <si>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</si>
  <si>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</si>
  <si>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</si>
  <si>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</si>
  <si>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</si>
  <si>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</si>
  <si>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</si>
  <si>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</si>
  <si>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</si>
  <si>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</si>
  <si>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</si>
  <si>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</si>
  <si>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</si>
  <si>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</si>
  <si>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</si>
  <si>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</si>
  <si>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</si>
  <si>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</si>
  <si>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</si>
  <si>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</si>
  <si>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</si>
  <si>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</si>
  <si>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</si>
  <si>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</si>
  <si>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</si>
  <si>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</si>
  <si>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</si>
  <si>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</si>
  <si>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</si>
  <si>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</si>
  <si>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</si>
  <si>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</si>
  <si>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</si>
  <si>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</si>
  <si>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</si>
  <si>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</si>
  <si>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</si>
  <si>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กระบี่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</si>
  <si>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</si>
  <si>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</si>
  <si>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</si>
  <si>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ชุมพร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</si>
  <si>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</si>
  <si>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ตรัง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</si>
  <si>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</si>
  <si>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นครศรีธรรมราช</t>
  </si>
  <si>
    <t>(5) โครงการพัฒนาพื้นที่ลุ่มน้ำปากพนัง</t>
  </si>
  <si>
    <t>สำนักงานการปฏิรูปที่ดินจังหวัด นราธิวาส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</si>
  <si>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</si>
  <si>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</si>
  <si>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</si>
  <si>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</si>
  <si>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</si>
  <si>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ภูเก็ต</t>
  </si>
  <si>
    <t>- รายโรงเรียน</t>
  </si>
  <si>
    <t>- โรงเรียน/แปลง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</si>
  <si>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</si>
  <si>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</si>
  <si>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</si>
  <si>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</si>
  <si>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</si>
  <si>
    <t>ข้อมูล ณ วันที่ 15 กรกฎาคม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</si>
</sst>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7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11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189" fontId="4" fillId="26" borderId="11" xfId="0" applyNumberFormat="1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187" fontId="2" fillId="23" borderId="12" xfId="0" applyNumberFormat="1" applyFont="1" applyFill="1" applyBorder="1" applyAlignment="1"/>
    <xf numFmtId="187" fontId="2" fillId="23" borderId="13" xfId="0" applyNumberFormat="1" applyFont="1" applyFill="1" applyBorder="1" applyAlignment="1"/>
    <xf numFmtId="0" fontId="51" fillId="23" borderId="13" xfId="0" applyFont="1" applyFill="1" applyBorder="1" applyAlignment="1"/>
    <xf numFmtId="0" fontId="2" fillId="23" borderId="14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60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6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9" fillId="38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3" fillId="2" borderId="13" xfId="0" applyFont="1" applyFill="1" applyBorder="1" applyAlignment="1"/>
    <xf numFmtId="0" fontId="3" fillId="0" borderId="13" xfId="0" applyFont="1" applyBorder="1"/>
    <xf numFmtId="0" fontId="55" fillId="2" borderId="10" xfId="0" applyFont="1" applyFill="1" applyBorder="1" applyAlignment="1"/>
    <xf numFmtId="0" fontId="60" fillId="2" borderId="10" xfId="0" applyFont="1" applyFill="1" applyBorder="1" applyAlignment="1"/>
    <xf numFmtId="0" fontId="65" fillId="2" borderId="13" xfId="0" applyFont="1" applyFill="1" applyBorder="1" applyAlignment="1"/>
    <xf numFmtId="0" fontId="72" fillId="2" borderId="10" xfId="0" applyFont="1" applyFill="1" applyBorder="1" applyAlignment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189" fontId="4" fillId="21" borderId="11" xfId="0" applyNumberFormat="1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3" borderId="13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5" fillId="21" borderId="10" xfId="0" applyNumberFormat="1" applyFont="1" applyFill="1" applyBorder="1" applyAlignment="1"/>
    <xf numFmtId="187" fontId="55" fillId="21" borderId="10" xfId="0" quotePrefix="1" applyNumberFormat="1" applyFont="1" applyFill="1" applyBorder="1" applyAlignment="1"/>
    <xf numFmtId="0" fontId="60" fillId="21" borderId="10" xfId="0" quotePrefix="1" applyFont="1" applyFill="1" applyBorder="1" applyAlignment="1"/>
    <xf numFmtId="0" fontId="55" fillId="21" borderId="10" xfId="0" quotePrefix="1" applyFont="1" applyFill="1" applyBorder="1" applyAlignment="1"/>
    <xf numFmtId="0" fontId="55" fillId="2" borderId="13" xfId="0" applyFont="1" applyFill="1" applyBorder="1" applyAlignment="1"/>
    <xf numFmtId="0" fontId="55" fillId="21" borderId="10" xfId="0" applyFont="1" applyFill="1" applyBorder="1" applyAlignment="1"/>
    <xf numFmtId="0" fontId="60" fillId="21" borderId="10" xfId="0" applyFont="1" applyFill="1" applyBorder="1" applyAlignment="1"/>
    <xf numFmtId="0" fontId="61" fillId="2" borderId="10" xfId="0" applyFont="1" applyFill="1" applyBorder="1" applyAlignment="1"/>
    <xf numFmtId="187" fontId="60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8" fontId="64" fillId="10" borderId="11" xfId="0" applyNumberFormat="1" applyFont="1" applyFill="1" applyBorder="1" applyAlignment="1"/>
    <xf numFmtId="0" fontId="76" fillId="0" borderId="0" xfId="0" applyFont="1" applyAlignment="1"/>
    <xf numFmtId="0" fontId="34" fillId="21" borderId="10" xfId="0" quotePrefix="1" applyFont="1" applyFill="1" applyBorder="1" applyAlignment="1"/>
    <xf numFmtId="189" fontId="32" fillId="10" borderId="11" xfId="0" applyNumberFormat="1" applyFont="1" applyFill="1" applyBorder="1" applyAlignment="1"/>
    <xf numFmtId="0" fontId="34" fillId="2" borderId="13" xfId="0" quotePrefix="1" applyFont="1" applyFill="1" applyBorder="1" applyAlignment="1"/>
    <xf numFmtId="189" fontId="6" fillId="10" borderId="11" xfId="0" applyNumberFormat="1" applyFont="1" applyFill="1" applyBorder="1" applyAlignment="1"/>
    <xf numFmtId="188" fontId="1" fillId="41" borderId="27" xfId="0" applyNumberFormat="1" applyFont="1" applyFill="1" applyBorder="1" applyAlignment="1">
      <alignment horizontal="right"/>
    </xf>
    <xf numFmtId="188" fontId="1" fillId="41" borderId="19" xfId="0" applyNumberFormat="1" applyFont="1" applyFill="1" applyBorder="1" applyAlignment="1">
      <alignment horizontal="right"/>
    </xf>
    <xf numFmtId="191" fontId="4" fillId="10" borderId="11" xfId="0" applyNumberFormat="1" applyFont="1" applyFill="1" applyBorder="1" applyAlignment="1"/>
    <xf numFmtId="189" fontId="14" fillId="2" borderId="15" xfId="0" applyNumberFormat="1" applyFont="1" applyFill="1" applyBorder="1" applyAlignment="1">
      <alignment horizontal="right"/>
    </xf>
    <xf numFmtId="189" fontId="14" fillId="2" borderId="14" xfId="0" applyNumberFormat="1" applyFont="1" applyFill="1" applyBorder="1" applyAlignment="1">
      <alignment horizontal="right"/>
    </xf>
    <xf numFmtId="188" fontId="14" fillId="2" borderId="14" xfId="0" applyNumberFormat="1" applyFont="1" applyFill="1" applyBorder="1" applyAlignment="1">
      <alignment horizontal="right"/>
    </xf>
    <xf numFmtId="189" fontId="2" fillId="2" borderId="16" xfId="0" applyNumberFormat="1" applyFont="1" applyFill="1" applyBorder="1" applyAlignment="1"/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9" fontId="14" fillId="2" borderId="16" xfId="0" applyNumberFormat="1" applyFont="1" applyFill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-&#3609;&#3619;&#3634;&#3608;&#3636;&#3623;&#3634;&#362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นราธิวาส"/>
      <sheetName val="แผนปฏิบัติงาน"/>
      <sheetName val="ผลการเบิกจ่ายเงินงบประมาณ"/>
      <sheetName val="เป้าการใช้ งปม."/>
      <sheetName val="ผลการเบิกจ่ายเงินกองทุน"/>
      <sheetName val="สรุปภาพรวมการเบิกจ่าย "/>
      <sheetName val="Sheet12"/>
      <sheetName val="(ผตร.)แบบรายงานผลงาน"/>
      <sheetName val="นำเข้า studio"/>
      <sheetName val="(ผตร.)ปัญหาอุปสรรค"/>
      <sheetName val="รายงานงบประมาณ"/>
      <sheetName val="ผลการเบิกจ่าย(กลุ่มยุทธ)"/>
    </sheetNames>
    <sheetDataSet>
      <sheetData sheetId="0" refreshError="1"/>
      <sheetData sheetId="1" refreshError="1"/>
      <sheetData sheetId="2">
        <row r="28">
          <cell r="G28">
            <v>5400</v>
          </cell>
        </row>
        <row r="30">
          <cell r="G30">
            <v>0</v>
          </cell>
        </row>
      </sheetData>
      <sheetData sheetId="3" refreshError="1"/>
      <sheetData sheetId="4">
        <row r="7">
          <cell r="F7">
            <v>10400</v>
          </cell>
        </row>
        <row r="12">
          <cell r="F12">
            <v>11000</v>
          </cell>
        </row>
        <row r="21">
          <cell r="F21">
            <v>10746</v>
          </cell>
        </row>
        <row r="22">
          <cell r="F22">
            <v>102701</v>
          </cell>
        </row>
        <row r="23">
          <cell r="F23">
            <v>11904</v>
          </cell>
        </row>
        <row r="24">
          <cell r="F24">
            <v>0</v>
          </cell>
        </row>
        <row r="25">
          <cell r="F25">
            <v>4700</v>
          </cell>
        </row>
        <row r="26">
          <cell r="F26">
            <v>25290</v>
          </cell>
        </row>
        <row r="27">
          <cell r="F27">
            <v>76950</v>
          </cell>
        </row>
        <row r="28">
          <cell r="F28">
            <v>10334</v>
          </cell>
        </row>
        <row r="29">
          <cell r="F29">
            <v>3797</v>
          </cell>
        </row>
        <row r="30">
          <cell r="F30">
            <v>12375</v>
          </cell>
        </row>
        <row r="31">
          <cell r="F31">
            <v>1400</v>
          </cell>
        </row>
        <row r="32">
          <cell r="F32">
            <v>7600</v>
          </cell>
        </row>
        <row r="37">
          <cell r="F37">
            <v>95680</v>
          </cell>
        </row>
        <row r="47">
          <cell r="F47">
            <v>5760</v>
          </cell>
        </row>
        <row r="48">
          <cell r="F48">
            <v>36300</v>
          </cell>
        </row>
        <row r="49">
          <cell r="F49">
            <v>3000</v>
          </cell>
        </row>
        <row r="50">
          <cell r="F50">
            <v>9330</v>
          </cell>
        </row>
        <row r="51">
          <cell r="F51">
            <v>3500</v>
          </cell>
        </row>
        <row r="52">
          <cell r="F52">
            <v>26490</v>
          </cell>
        </row>
        <row r="55">
          <cell r="F55">
            <v>5780</v>
          </cell>
        </row>
        <row r="56">
          <cell r="F56">
            <v>3000</v>
          </cell>
        </row>
        <row r="57">
          <cell r="F57">
            <v>13053</v>
          </cell>
        </row>
        <row r="58">
          <cell r="F58">
            <v>300</v>
          </cell>
        </row>
        <row r="59">
          <cell r="F59">
            <v>8400</v>
          </cell>
        </row>
        <row r="60">
          <cell r="F60">
            <v>66000</v>
          </cell>
        </row>
        <row r="61">
          <cell r="F61">
            <v>750</v>
          </cell>
        </row>
        <row r="62">
          <cell r="F62">
            <v>16740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3" width="24.7109375" bestFit="1" customWidth="1"/>
    <col min="14" max="14" width="23" bestFit="1" customWidth="1"/>
    <col min="15" max="15" width="20.140625" bestFit="1" customWidth="1"/>
    <col min="16" max="16" width="22" bestFit="1" customWidth="1"/>
  </cols>
  <sheetData>
    <row r="1" spans="1:26" ht="20.25" customHeight="1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20.25" customHeight="1">
      <c r="A2" s="829" t="s">
        <v>1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20.25" customHeight="1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20.25" customHeight="1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124312773</v>
      </c>
      <c r="M8" s="22">
        <f t="shared" ca="1" si="0"/>
        <v>126389532.78</v>
      </c>
      <c r="N8" s="22">
        <f t="shared" ca="1" si="0"/>
        <v>77884830.73999998</v>
      </c>
      <c r="O8" s="22">
        <f t="shared" ref="O8:O16" ca="1" si="1">IF(L8&gt;0,N8*100/L8,0)</f>
        <v>62.652315494563041</v>
      </c>
      <c r="P8" s="22">
        <f t="shared" ref="P8:P16" ca="1" si="2">IF(M8&gt;0,N8*100/M8,0)</f>
        <v>61.622848844271182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124312773</v>
      </c>
      <c r="M10" s="30">
        <f t="shared" ca="1" si="4"/>
        <v>126389532.78</v>
      </c>
      <c r="N10" s="30">
        <f t="shared" ca="1" si="4"/>
        <v>77884830.73999998</v>
      </c>
      <c r="O10" s="30">
        <f t="shared" ca="1" si="1"/>
        <v>62.652315494563041</v>
      </c>
      <c r="P10" s="30">
        <f t="shared" ca="1" si="2"/>
        <v>61.622848844271182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53162873</v>
      </c>
      <c r="M11" s="38">
        <f t="shared" ca="1" si="5"/>
        <v>56500731.590000004</v>
      </c>
      <c r="N11" s="38">
        <f t="shared" ca="1" si="5"/>
        <v>41689405.54999999</v>
      </c>
      <c r="O11" s="38">
        <f t="shared" ca="1" si="1"/>
        <v>78.418270491137662</v>
      </c>
      <c r="P11" s="38">
        <f t="shared" ca="1" si="2"/>
        <v>73.785603083020163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53162873</v>
      </c>
      <c r="M13" s="45">
        <f t="shared" ca="1" si="7"/>
        <v>56500731.590000004</v>
      </c>
      <c r="N13" s="45">
        <f t="shared" ca="1" si="7"/>
        <v>41689405.54999999</v>
      </c>
      <c r="O13" s="45">
        <f t="shared" ca="1" si="1"/>
        <v>78.418270491137662</v>
      </c>
      <c r="P13" s="45">
        <f t="shared" ca="1" si="2"/>
        <v>73.785603083020163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71149900</v>
      </c>
      <c r="M14" s="38">
        <f t="shared" ca="1" si="8"/>
        <v>69888801.189999998</v>
      </c>
      <c r="N14" s="38">
        <f t="shared" ca="1" si="8"/>
        <v>36195425.189999998</v>
      </c>
      <c r="O14" s="38">
        <f t="shared" ca="1" si="1"/>
        <v>50.872067550340901</v>
      </c>
      <c r="P14" s="38">
        <f t="shared" ca="1" si="2"/>
        <v>51.790021539500955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71149900</v>
      </c>
      <c r="M16" s="52">
        <f t="shared" ca="1" si="10"/>
        <v>69888801.189999998</v>
      </c>
      <c r="N16" s="52">
        <f t="shared" ca="1" si="10"/>
        <v>36195425.189999998</v>
      </c>
      <c r="O16" s="52">
        <f t="shared" ca="1" si="1"/>
        <v>50.872067550340901</v>
      </c>
      <c r="P16" s="52">
        <f t="shared" ca="1" si="2"/>
        <v>51.790021539500955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108223463</v>
      </c>
      <c r="M18" s="22">
        <f t="shared" ca="1" si="11"/>
        <v>109906137.78</v>
      </c>
      <c r="N18" s="22">
        <f t="shared" ca="1" si="11"/>
        <v>66566457.219999999</v>
      </c>
      <c r="O18" s="22">
        <f t="shared" ref="O18:O26" ca="1" si="12">IF(L18&gt;0,N18*100/L18,0)</f>
        <v>61.508341513706689</v>
      </c>
      <c r="P18" s="22">
        <f t="shared" ref="P18:P26" ca="1" si="13">IF(M18&gt;0,N18*100/M18,0)</f>
        <v>60.566642195403695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108223463</v>
      </c>
      <c r="M20" s="30">
        <f t="shared" ca="1" si="15"/>
        <v>109906137.78</v>
      </c>
      <c r="N20" s="30">
        <f t="shared" ca="1" si="15"/>
        <v>66566457.219999999</v>
      </c>
      <c r="O20" s="30">
        <f t="shared" ca="1" si="12"/>
        <v>61.508341513706689</v>
      </c>
      <c r="P20" s="30">
        <f t="shared" ca="1" si="13"/>
        <v>60.566642195403695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37073563</v>
      </c>
      <c r="M21" s="38">
        <f t="shared" ca="1" si="16"/>
        <v>40017336.590000004</v>
      </c>
      <c r="N21" s="38">
        <f t="shared" ca="1" si="16"/>
        <v>30371032.030000001</v>
      </c>
      <c r="O21" s="38">
        <f t="shared" ca="1" si="12"/>
        <v>81.920995912909689</v>
      </c>
      <c r="P21" s="38">
        <f t="shared" ca="1" si="13"/>
        <v>75.894686198554922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37073563</v>
      </c>
      <c r="M23" s="45">
        <f ca="1">M46+M58+M71+M93+M124+M137+M154+M186+M170+M266+M282+M303+M460+M333+M350+M394+M407+M320</f>
        <v>40017336.590000004</v>
      </c>
      <c r="N23" s="45">
        <f ca="1">N46+N58+N71+N93+N124+N137+N154+N186+N170+N266+N282+N303+N320+N333+N350+N394+N407</f>
        <v>30371032.030000001</v>
      </c>
      <c r="O23" s="45">
        <f t="shared" ca="1" si="12"/>
        <v>81.920995912909689</v>
      </c>
      <c r="P23" s="45">
        <f t="shared" ca="1" si="13"/>
        <v>75.894686198554922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71149900</v>
      </c>
      <c r="M24" s="38">
        <f t="shared" ca="1" si="18"/>
        <v>69888801.189999998</v>
      </c>
      <c r="N24" s="38">
        <f t="shared" ca="1" si="18"/>
        <v>36195425.189999998</v>
      </c>
      <c r="O24" s="38">
        <f t="shared" ca="1" si="12"/>
        <v>50.872067550340901</v>
      </c>
      <c r="P24" s="38">
        <f t="shared" ca="1" si="13"/>
        <v>51.790021539500955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19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9"/>
        <v>71149900</v>
      </c>
      <c r="M26" s="52">
        <f t="shared" ref="M26:N26" ca="1" si="20">M49+M61+M74+M96+M127+M140+M157+M189+M173+M269+M285+M306+M323+M336+M353+M397+M410</f>
        <v>69888801.189999998</v>
      </c>
      <c r="N26" s="52">
        <f t="shared" ca="1" si="20"/>
        <v>36195425.189999998</v>
      </c>
      <c r="O26" s="52">
        <f t="shared" ca="1" si="12"/>
        <v>50.872067550340901</v>
      </c>
      <c r="P26" s="52">
        <f t="shared" ca="1" si="13"/>
        <v>51.790021539500955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16089310</v>
      </c>
      <c r="M28" s="22">
        <f t="shared" ca="1" si="21"/>
        <v>16483395</v>
      </c>
      <c r="N28" s="22">
        <f t="shared" ca="1" si="21"/>
        <v>11318373.51999999</v>
      </c>
      <c r="O28" s="22">
        <f t="shared" ref="O28:O37" ca="1" si="22">IF(L28&gt;0,N28*100/L28,0)</f>
        <v>70.347165416043268</v>
      </c>
      <c r="P28" s="22">
        <f t="shared" ref="P28:P31" ca="1" si="23">IF(M28&gt;0,N28*100/M28,0)</f>
        <v>68.665305417967545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16089310</v>
      </c>
      <c r="M30" s="30">
        <f t="shared" ca="1" si="25"/>
        <v>16483395</v>
      </c>
      <c r="N30" s="30">
        <f t="shared" ca="1" si="25"/>
        <v>11318373.51999999</v>
      </c>
      <c r="O30" s="30">
        <f t="shared" ca="1" si="22"/>
        <v>70.347165416043268</v>
      </c>
      <c r="P30" s="30">
        <f t="shared" ca="1" si="23"/>
        <v>68.665305417967545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16089310</v>
      </c>
      <c r="M31" s="38">
        <f t="shared" ca="1" si="26"/>
        <v>16483395</v>
      </c>
      <c r="N31" s="38">
        <f t="shared" ca="1" si="26"/>
        <v>11318373.51999999</v>
      </c>
      <c r="O31" s="38">
        <f t="shared" ca="1" si="22"/>
        <v>70.347165416043268</v>
      </c>
      <c r="P31" s="38">
        <f t="shared" ca="1" si="23"/>
        <v>68.665305417967545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16089310</v>
      </c>
      <c r="M33" s="45">
        <f t="shared" ca="1" si="28"/>
        <v>16483395</v>
      </c>
      <c r="N33" s="45">
        <f t="shared" ca="1" si="28"/>
        <v>11318373.51999999</v>
      </c>
      <c r="O33" s="45">
        <f t="shared" ca="1" si="22"/>
        <v>70.347165416043268</v>
      </c>
      <c r="P33" s="45">
        <f t="shared" ref="P33:P37" ca="1" si="29">IF(M33&gt;0,N33*100/M33,0)</f>
        <v>68.665305417967545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108223463</v>
      </c>
      <c r="M37" s="59">
        <f ca="1">M41+M53+M66+M88+M119+M132+M149+M165+M181+M261+M277+M298+M315+M468+M345+M389+M402</f>
        <v>107565137.78</v>
      </c>
      <c r="N37" s="59">
        <f ca="1">N41+N53+N66+N88+N119+N132+N149+N165+N181+N261+N277+N298+N315+N328+N345+N389+N402</f>
        <v>66566457.219999999</v>
      </c>
      <c r="O37" s="59">
        <f t="shared" ca="1" si="22"/>
        <v>61.508341513706689</v>
      </c>
      <c r="P37" s="59">
        <f t="shared" ca="1" si="29"/>
        <v>61.88478776101838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5663953</v>
      </c>
      <c r="M41" s="85">
        <f t="shared" ca="1" si="33"/>
        <v>6290578.5899999999</v>
      </c>
      <c r="N41" s="85">
        <f t="shared" ca="1" si="33"/>
        <v>5027302.6500000004</v>
      </c>
      <c r="O41" s="85">
        <f t="shared" ref="O41:O45" ca="1" si="34">IF(L41&gt;0,N41*100/L41,0)</f>
        <v>88.75961099959693</v>
      </c>
      <c r="P41" s="85">
        <f t="shared" ref="P41:P49" ca="1" si="35">IF(M41&gt;0,N41*100/M41,0)</f>
        <v>79.917969040110194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5663953</v>
      </c>
      <c r="M43" s="92">
        <f t="shared" ca="1" si="37"/>
        <v>6290578.5899999999</v>
      </c>
      <c r="N43" s="92">
        <f t="shared" ca="1" si="37"/>
        <v>5027302.6500000004</v>
      </c>
      <c r="O43" s="92">
        <f t="shared" ca="1" si="34"/>
        <v>88.75961099959693</v>
      </c>
      <c r="P43" s="92">
        <f t="shared" ca="1" si="35"/>
        <v>79.917969040110194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5663953</v>
      </c>
      <c r="M44" s="38">
        <f t="shared" ca="1" si="38"/>
        <v>6290578.5899999999</v>
      </c>
      <c r="N44" s="38">
        <f t="shared" ca="1" si="38"/>
        <v>5027302.6500000004</v>
      </c>
      <c r="O44" s="38">
        <f t="shared" ca="1" si="34"/>
        <v>88.75961099959693</v>
      </c>
      <c r="P44" s="38">
        <f t="shared" ca="1" si="35"/>
        <v>79.917969040110194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IFERROR(__xludf.DUMMYFUNCTION("IMPORTRANGE(""https://docs.google.com/spreadsheets/d/1kC41EOXpGBFOW658Fs3oD8beYlym0-zO54WY-2Qnp9I/edit?usp=share_link"",""กระบี่!L46"")
+IMPORTRANGE(""https://docs.google.com/spreadsheets/d/1FbzMZY_f3MDiEuK7RpCQKrilJ_kpX0Wm7QBZ1L7EjIU/edit?usp=share_link"&amp;""",""ชุมพร!L46"")+IMPORTRANGE(""https://docs.google.com/spreadsheets/d/1v5sN-00LrXuhBxw4dkh2GrG_z4l5oAqOdJRBCsUyMaM/edit?usp=share_link"",""ตรัง!L46"")+IMPORTRANGE(""https://docs.google.com/spreadsheets/d/1T5rRTzFc79aSIvqnzkZNvwPstq829QYz_xALlO1Z0s8/edit?"&amp;"usp=share_link"",""นครศรีธรรมราช!L46"")+IMPORTRANGE(""https://docs.google.com/spreadsheets/d/1BeghqumK0IvCmRd2QOy6_afsZq7ZtAGrSnVJy2u7WmY/edit?usp=share_link"",""นราธิวาส!L46"")+IMPORTRANGE(""https://docs.google.com/spreadsheets/d/1IwnW3-jjRf74MCLW-6PiFwM"&amp;"UffRQXZwZA7YM609NmRc/edit?usp=share_link"",""ปัตตานี!L46"")+IMPORTRANGE(""https://docs.google.com/spreadsheets/d/1vl4QWbWdFruual5o_wdo6ZSqXZ_it806oja4CctTLKs/edit?usp=share_link"",""พังงา!L46"")+IMPORTRANGE(""https://docs.google.com/spreadsheets/d/1b6QssH"&amp;"Qp2FoAPSMKHOy273KNzAomaIKhtdlvuZ_zDNE/edit?usp=share_link"",""พัทลุง!L46"")+IMPORTRANGE(""https://docs.google.com/spreadsheets/d/1o7UZe4_OqlqtLDHrj01Z2YFRSZDf1DMy1n3XViHaxRc/edit?usp=share_link"",""ภูเก็ต!L46"")+IMPORTRANGE(""https://docs.google.com/sprea"&amp;"dsheets/d/1ctPm1vUzcUCPuOj9-eoHUD85PqINFqUB0TjdSWmR5-c/edit?usp=share_link"",""ยะลา!L46"")+IMPORTRANGE(""https://docs.google.com/spreadsheets/d/1YiDIE7Klmt8osgdapRqYWNr7iPGFSsiJqq46S7PYRE0/edit?usp=share_link"",""ระนอง!L46"")+IMPORTRANGE(""https://docs.go"&amp;"ogle.com/spreadsheets/d/16o_4B-V7AWw_6E93bSpXj_XxVv1oVQctk-B6z1dNEWU/edit?usp=share_link"",""สงขลา!L46"")+IMPORTRANGE(""https://docs.google.com/spreadsheets/d/16cywr71Fj4fA5OGRHsZh30ZG2gwJhMAQv69oVBzYHv0/edit?usp=share_link"",""สตูล!L46"")+IMPORTRANGE(""h"&amp;"ttps://docs.google.com/spreadsheets/d/1vO9Sws6kMtrVtyvrAJptINXjK8TFBoX9xLYOVK_C8bQ/edit?usp=share_link"",""สุราษฎร์ธานี!L46"")"),5663953)</f>
        <v>5663953</v>
      </c>
      <c r="M46" s="45">
        <f ca="1">IFERROR(__xludf.DUMMYFUNCTION("IMPORTRANGE(""https://docs.google.com/spreadsheets/d/1kC41EOXpGBFOW658Fs3oD8beYlym0-zO54WY-2Qnp9I/edit?usp=share_link"",""กระบี่!M46"")
+IMPORTRANGE(""https://docs.google.com/spreadsheets/d/1FbzMZY_f3MDiEuK7RpCQKrilJ_kpX0Wm7QBZ1L7EjIU/edit?usp=share_link"&amp;""",""ชุมพร!M46"")+IMPORTRANGE(""https://docs.google.com/spreadsheets/d/1v5sN-00LrXuhBxw4dkh2GrG_z4l5oAqOdJRBCsUyMaM/edit?usp=share_link"",""ตรัง!M46"")+IMPORTRANGE(""https://docs.google.com/spreadsheets/d/1T5rRTzFc79aSIvqnzkZNvwPstq829QYz_xALlO1Z0s8/edit?"&amp;"usp=share_link"",""นครศรีธรรมราช!M46"")+IMPORTRANGE(""https://docs.google.com/spreadsheets/d/1BeghqumK0IvCmRd2QOy6_afsZq7ZtAGrSnVJy2u7WmY/edit?usp=share_link"",""นราธิวาส!M46"")+IMPORTRANGE(""https://docs.google.com/spreadsheets/d/1IwnW3-jjRf74MCLW-6PiFwM"&amp;"UffRQXZwZA7YM609NmRc/edit?usp=share_link"",""ปัตตานี!M46"")+IMPORTRANGE(""https://docs.google.com/spreadsheets/d/1vl4QWbWdFruual5o_wdo6ZSqXZ_it806oja4CctTLKs/edit?usp=share_link"",""พังงา!M46"")+IMPORTRANGE(""https://docs.google.com/spreadsheets/d/1b6QssH"&amp;"Qp2FoAPSMKHOy273KNzAomaIKhtdlvuZ_zDNE/edit?usp=share_link"",""พัทลุง!M46"")+IMPORTRANGE(""https://docs.google.com/spreadsheets/d/1o7UZe4_OqlqtLDHrj01Z2YFRSZDf1DMy1n3XViHaxRc/edit?usp=share_link"",""ภูเก็ต!M46"")+IMPORTRANGE(""https://docs.google.com/sprea"&amp;"dsheets/d/1ctPm1vUzcUCPuOj9-eoHUD85PqINFqUB0TjdSWmR5-c/edit?usp=share_link"",""ยะลา!M46"")+IMPORTRANGE(""https://docs.google.com/spreadsheets/d/1YiDIE7Klmt8osgdapRqYWNr7iPGFSsiJqq46S7PYRE0/edit?usp=share_link"",""ระนอง!M46"")+IMPORTRANGE(""https://docs.go"&amp;"ogle.com/spreadsheets/d/16o_4B-V7AWw_6E93bSpXj_XxVv1oVQctk-B6z1dNEWU/edit?usp=share_link"",""สงขลา!M46"")+IMPORTRANGE(""https://docs.google.com/spreadsheets/d/16cywr71Fj4fA5OGRHsZh30ZG2gwJhMAQv69oVBzYHv0/edit?usp=share_link"",""สตูล!M46"")+IMPORTRANGE(""h"&amp;"ttps://docs.google.com/spreadsheets/d/1vO9Sws6kMtrVtyvrAJptINXjK8TFBoX9xLYOVK_C8bQ/edit?usp=share_link"",""สุราษฎร์ธานี!M46"")"),6290578.59)</f>
        <v>6290578.5899999999</v>
      </c>
      <c r="N46" s="45">
        <f ca="1">IFERROR(__xludf.DUMMYFUNCTION("IMPORTRANGE(""https://docs.google.com/spreadsheets/d/1kC41EOXpGBFOW658Fs3oD8beYlym0-zO54WY-2Qnp9I/edit?usp=share_link"",""กระบี่!N46"")
+IMPORTRANGE(""https://docs.google.com/spreadsheets/d/1FbzMZY_f3MDiEuK7RpCQKrilJ_kpX0Wm7QBZ1L7EjIU/edit?usp=share_link"&amp;""",""ชุมพร!N46"")+IMPORTRANGE(""https://docs.google.com/spreadsheets/d/1v5sN-00LrXuhBxw4dkh2GrG_z4l5oAqOdJRBCsUyMaM/edit?usp=share_link"",""ตรัง!N46"")+IMPORTRANGE(""https://docs.google.com/spreadsheets/d/1T5rRTzFc79aSIvqnzkZNvwPstq829QYz_xALlO1Z0s8/edit?"&amp;"usp=share_link"",""นครศรีธรรมราช!N46"")+IMPORTRANGE(""https://docs.google.com/spreadsheets/d/1BeghqumK0IvCmRd2QOy6_afsZq7ZtAGrSnVJy2u7WmY/edit?usp=share_link"",""นราธิวาส!N46"")+IMPORTRANGE(""https://docs.google.com/spreadsheets/d/1IwnW3-jjRf74MCLW-6PiFwM"&amp;"UffRQXZwZA7YM609NmRc/edit?usp=share_link"",""ปัตตานี!N46"")+IMPORTRANGE(""https://docs.google.com/spreadsheets/d/1vl4QWbWdFruual5o_wdo6ZSqXZ_it806oja4CctTLKs/edit?usp=share_link"",""พังงา!N46"")+IMPORTRANGE(""https://docs.google.com/spreadsheets/d/1b6QssH"&amp;"Qp2FoAPSMKHOy273KNzAomaIKhtdlvuZ_zDNE/edit?usp=share_link"",""พัทลุง!N46"")+IMPORTRANGE(""https://docs.google.com/spreadsheets/d/1o7UZe4_OqlqtLDHrj01Z2YFRSZDf1DMy1n3XViHaxRc/edit?usp=share_link"",""ภูเก็ต!N46"")+IMPORTRANGE(""https://docs.google.com/sprea"&amp;"dsheets/d/1ctPm1vUzcUCPuOj9-eoHUD85PqINFqUB0TjdSWmR5-c/edit?usp=share_link"",""ยะลา!N46"")+IMPORTRANGE(""https://docs.google.com/spreadsheets/d/1YiDIE7Klmt8osgdapRqYWNr7iPGFSsiJqq46S7PYRE0/edit?usp=share_link"",""ระนอง!N46"")+IMPORTRANGE(""https://docs.go"&amp;"ogle.com/spreadsheets/d/16o_4B-V7AWw_6E93bSpXj_XxVv1oVQctk-B6z1dNEWU/edit?usp=share_link"",""สงขลา!N46"")+IMPORTRANGE(""https://docs.google.com/spreadsheets/d/16cywr71Fj4fA5OGRHsZh30ZG2gwJhMAQv69oVBzYHv0/edit?usp=share_link"",""สตูล!N46"")+IMPORTRANGE(""h"&amp;"ttps://docs.google.com/spreadsheets/d/1vO9Sws6kMtrVtyvrAJptINXjK8TFBoX9xLYOVK_C8bQ/edit?usp=share_link"",""สุราษฎร์ธานี!N46"")"),5027302.65)</f>
        <v>5027302.6500000004</v>
      </c>
      <c r="O46" s="45">
        <f ca="1">IF(M46&gt;0,N46*100/M46,0)</f>
        <v>79.917969040110194</v>
      </c>
      <c r="P46" s="45">
        <f t="shared" ca="1" si="35"/>
        <v>79.917969040110194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IFERROR(__xludf.DUMMYFUNCTION("IMPORTRANGE(""https://docs.google.com/spreadsheets/d/1kC41EOXpGBFOW658Fs3oD8beYlym0-zO54WY-2Qnp9I/edit?usp=share_link"",""กระบี่!L49"")
+IMPORTRANGE(""https://docs.google.com/spreadsheets/d/1FbzMZY_f3MDiEuK7RpCQKrilJ_kpX0Wm7QBZ1L7EjIU/edit?usp=share_link"&amp;""",""ชุมพร!L49"")+IMPORTRANGE(""https://docs.google.com/spreadsheets/d/1v5sN-00LrXuhBxw4dkh2GrG_z4l5oAqOdJRBCsUyMaM/edit?usp=share_link"",""ตรัง!L49"")+IMPORTRANGE(""https://docs.google.com/spreadsheets/d/1T5rRTzFc79aSIvqnzkZNvwPstq829QYz_xALlO1Z0s8/edit?"&amp;"usp=share_link"",""นครศรีธรรมราช!L49"")+IMPORTRANGE(""https://docs.google.com/spreadsheets/d/1BeghqumK0IvCmRd2QOy6_afsZq7ZtAGrSnVJy2u7WmY/edit?usp=share_link"",""นราธิวาส!L49"")+IMPORTRANGE(""https://docs.google.com/spreadsheets/d/1IwnW3-jjRf74MCLW-6PiFwM"&amp;"UffRQXZwZA7YM609NmRc/edit?usp=share_link"",""ปัตตานี!L49"")+IMPORTRANGE(""https://docs.google.com/spreadsheets/d/1vl4QWbWdFruual5o_wdo6ZSqXZ_it806oja4CctTLKs/edit?usp=share_link"",""พังงา!L49"")+IMPORTRANGE(""https://docs.google.com/spreadsheets/d/1b6QssH"&amp;"Qp2FoAPSMKHOy273KNzAomaIKhtdlvuZ_zDNE/edit?usp=share_link"",""พัทลุง!L49"")+IMPORTRANGE(""https://docs.google.com/spreadsheets/d/1o7UZe4_OqlqtLDHrj01Z2YFRSZDf1DMy1n3XViHaxRc/edit?usp=share_link"",""ภูเก็ต!L49"")+IMPORTRANGE(""https://docs.google.com/sprea"&amp;"dsheets/d/1ctPm1vUzcUCPuOj9-eoHUD85PqINFqUB0TjdSWmR5-c/edit?usp=share_link"",""ยะลา!L49"")+IMPORTRANGE(""https://docs.google.com/spreadsheets/d/1YiDIE7Klmt8osgdapRqYWNr7iPGFSsiJqq46S7PYRE0/edit?usp=share_link"",""ระนอง!L49"")+IMPORTRANGE(""https://docs.go"&amp;"ogle.com/spreadsheets/d/16o_4B-V7AWw_6E93bSpXj_XxVv1oVQctk-B6z1dNEWU/edit?usp=share_link"",""สงขลา!L49"")+IMPORTRANGE(""https://docs.google.com/spreadsheets/d/16cywr71Fj4fA5OGRHsZh30ZG2gwJhMAQv69oVBzYHv0/edit?usp=share_link"",""สตูล!L49"")+IMPORTRANGE(""h"&amp;"ttps://docs.google.com/spreadsheets/d/1vO9Sws6kMtrVtyvrAJptINXjK8TFBoX9xLYOVK_C8bQ/edit?usp=share_link"",""สุราษฎร์ธานี!L49"")"),0)</f>
        <v>0</v>
      </c>
      <c r="M49" s="52">
        <f ca="1">IFERROR(__xludf.DUMMYFUNCTION("IMPORTRANGE(""https://docs.google.com/spreadsheets/d/1kC41EOXpGBFOW658Fs3oD8beYlym0-zO54WY-2Qnp9I/edit?usp=share_link"",""กระบี่!M49"")
+IMPORTRANGE(""https://docs.google.com/spreadsheets/d/1FbzMZY_f3MDiEuK7RpCQKrilJ_kpX0Wm7QBZ1L7EjIU/edit?usp=share_link"&amp;""",""ชุมพร!M49"")+IMPORTRANGE(""https://docs.google.com/spreadsheets/d/1v5sN-00LrXuhBxw4dkh2GrG_z4l5oAqOdJRBCsUyMaM/edit?usp=share_link"",""ตรัง!M49"")+IMPORTRANGE(""https://docs.google.com/spreadsheets/d/1T5rRTzFc79aSIvqnzkZNvwPstq829QYz_xALlO1Z0s8/edit?"&amp;"usp=share_link"",""นครศรีธรรมราช!M49"")+IMPORTRANGE(""https://docs.google.com/spreadsheets/d/1BeghqumK0IvCmRd2QOy6_afsZq7ZtAGrSnVJy2u7WmY/edit?usp=share_link"",""นราธิวาส!M49"")+IMPORTRANGE(""https://docs.google.com/spreadsheets/d/1IwnW3-jjRf74MCLW-6PiFwM"&amp;"UffRQXZwZA7YM609NmRc/edit?usp=share_link"",""ปัตตานี!M49"")+IMPORTRANGE(""https://docs.google.com/spreadsheets/d/1vl4QWbWdFruual5o_wdo6ZSqXZ_it806oja4CctTLKs/edit?usp=share_link"",""พังงา!M49"")+IMPORTRANGE(""https://docs.google.com/spreadsheets/d/1b6QssH"&amp;"Qp2FoAPSMKHOy273KNzAomaIKhtdlvuZ_zDNE/edit?usp=share_link"",""พัทลุง!M49"")+IMPORTRANGE(""https://docs.google.com/spreadsheets/d/1o7UZe4_OqlqtLDHrj01Z2YFRSZDf1DMy1n3XViHaxRc/edit?usp=share_link"",""ภูเก็ต!M49"")+IMPORTRANGE(""https://docs.google.com/sprea"&amp;"dsheets/d/1ctPm1vUzcUCPuOj9-eoHUD85PqINFqUB0TjdSWmR5-c/edit?usp=share_link"",""ยะลา!M49"")+IMPORTRANGE(""https://docs.google.com/spreadsheets/d/1YiDIE7Klmt8osgdapRqYWNr7iPGFSsiJqq46S7PYRE0/edit?usp=share_link"",""ระนอง!M49"")+IMPORTRANGE(""https://docs.go"&amp;"ogle.com/spreadsheets/d/16o_4B-V7AWw_6E93bSpXj_XxVv1oVQctk-B6z1dNEWU/edit?usp=share_link"",""สงขลา!M49"")+IMPORTRANGE(""https://docs.google.com/spreadsheets/d/16cywr71Fj4fA5OGRHsZh30ZG2gwJhMAQv69oVBzYHv0/edit?usp=share_link"",""สตูล!M49"")+IMPORTRANGE(""h"&amp;"ttps://docs.google.com/spreadsheets/d/1vO9Sws6kMtrVtyvrAJptINXjK8TFBoX9xLYOVK_C8bQ/edit?usp=share_link"",""สุราษฎร์ธานี!M49"")"),0)</f>
        <v>0</v>
      </c>
      <c r="N49" s="52">
        <f ca="1">IFERROR(__xludf.DUMMYFUNCTION("IMPORTRANGE(""https://docs.google.com/spreadsheets/d/1kC41EOXpGBFOW658Fs3oD8beYlym0-zO54WY-2Qnp9I/edit?usp=share_link"",""กระบี่!N49"")
+IMPORTRANGE(""https://docs.google.com/spreadsheets/d/1FbzMZY_f3MDiEuK7RpCQKrilJ_kpX0Wm7QBZ1L7EjIU/edit?usp=share_link"&amp;""",""ชุมพร!N49"")+IMPORTRANGE(""https://docs.google.com/spreadsheets/d/1v5sN-00LrXuhBxw4dkh2GrG_z4l5oAqOdJRBCsUyMaM/edit?usp=share_link"",""ตรัง!N49"")+IMPORTRANGE(""https://docs.google.com/spreadsheets/d/1T5rRTzFc79aSIvqnzkZNvwPstq829QYz_xALlO1Z0s8/edit?"&amp;"usp=share_link"",""นครศรีธรรมราช!N49"")+IMPORTRANGE(""https://docs.google.com/spreadsheets/d/1BeghqumK0IvCmRd2QOy6_afsZq7ZtAGrSnVJy2u7WmY/edit?usp=share_link"",""นราธิวาส!N49"")+IMPORTRANGE(""https://docs.google.com/spreadsheets/d/1IwnW3-jjRf74MCLW-6PiFwM"&amp;"UffRQXZwZA7YM609NmRc/edit?usp=share_link"",""ปัตตานี!N49"")+IMPORTRANGE(""https://docs.google.com/spreadsheets/d/1vl4QWbWdFruual5o_wdo6ZSqXZ_it806oja4CctTLKs/edit?usp=share_link"",""พังงา!N49"")+IMPORTRANGE(""https://docs.google.com/spreadsheets/d/1b6QssH"&amp;"Qp2FoAPSMKHOy273KNzAomaIKhtdlvuZ_zDNE/edit?usp=share_link"",""พัทลุง!N49"")+IMPORTRANGE(""https://docs.google.com/spreadsheets/d/1o7UZe4_OqlqtLDHrj01Z2YFRSZDf1DMy1n3XViHaxRc/edit?usp=share_link"",""ภูเก็ต!N49"")+IMPORTRANGE(""https://docs.google.com/sprea"&amp;"dsheets/d/1ctPm1vUzcUCPuOj9-eoHUD85PqINFqUB0TjdSWmR5-c/edit?usp=share_link"",""ยะลา!N49"")+IMPORTRANGE(""https://docs.google.com/spreadsheets/d/1YiDIE7Klmt8osgdapRqYWNr7iPGFSsiJqq46S7PYRE0/edit?usp=share_link"",""ระนอง!N49"")+IMPORTRANGE(""https://docs.go"&amp;"ogle.com/spreadsheets/d/16o_4B-V7AWw_6E93bSpXj_XxVv1oVQctk-B6z1dNEWU/edit?usp=share_link"",""สงขลา!N49"")+IMPORTRANGE(""https://docs.google.com/spreadsheets/d/16cywr71Fj4fA5OGRHsZh30ZG2gwJhMAQv69oVBzYHv0/edit?usp=share_link"",""สตูล!N49"")+IMPORTRANGE(""h"&amp;"ttps://docs.google.com/spreadsheets/d/1vO9Sws6kMtrVtyvrAJptINXjK8TFBoX9xLYOVK_C8bQ/edit?usp=share_link"",""สุราษฎร์ธานี!N49"")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14064900</v>
      </c>
      <c r="M53" s="116">
        <f t="shared" ca="1" si="41"/>
        <v>12958408</v>
      </c>
      <c r="N53" s="116">
        <f t="shared" ca="1" si="41"/>
        <v>11638187.27</v>
      </c>
      <c r="O53" s="116">
        <f t="shared" ref="O53:O61" ca="1" si="42">IF(L53&gt;0,N53*100/L53,0)</f>
        <v>82.746320770144123</v>
      </c>
      <c r="P53" s="116">
        <f t="shared" ref="P53:P61" ca="1" si="43">IF(M53&gt;0,N53*100/M53,0)</f>
        <v>89.81186014516598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14064900</v>
      </c>
      <c r="M55" s="123">
        <f t="shared" ca="1" si="45"/>
        <v>12958408</v>
      </c>
      <c r="N55" s="123">
        <f t="shared" ca="1" si="45"/>
        <v>11638187.27</v>
      </c>
      <c r="O55" s="123">
        <f t="shared" ca="1" si="42"/>
        <v>82.746320770144123</v>
      </c>
      <c r="P55" s="123">
        <f t="shared" ca="1" si="43"/>
        <v>89.81186014516598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8816200</v>
      </c>
      <c r="M56" s="38">
        <f t="shared" ca="1" si="46"/>
        <v>8976258</v>
      </c>
      <c r="N56" s="38">
        <f t="shared" ca="1" si="46"/>
        <v>7723137.2699999996</v>
      </c>
      <c r="O56" s="38">
        <f t="shared" ca="1" si="42"/>
        <v>87.601656836278664</v>
      </c>
      <c r="P56" s="38">
        <f t="shared" ca="1" si="43"/>
        <v>86.039608821404201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IFERROR(__xludf.DUMMYFUNCTION("IMPORTRANGE(""https://docs.google.com/spreadsheets/d/1kC41EOXpGBFOW658Fs3oD8beYlym0-zO54WY-2Qnp9I/edit?usp=share_link"",""กระบี่!L58"")
+IMPORTRANGE(""https://docs.google.com/spreadsheets/d/1FbzMZY_f3MDiEuK7RpCQKrilJ_kpX0Wm7QBZ1L7EjIU/edit?usp=share_link"&amp;""",""ชุมพร!L58"")+IMPORTRANGE(""https://docs.google.com/spreadsheets/d/1v5sN-00LrXuhBxw4dkh2GrG_z4l5oAqOdJRBCsUyMaM/edit?usp=share_link"",""ตรัง!L58"")+IMPORTRANGE(""https://docs.google.com/spreadsheets/d/1T5rRTzFc79aSIvqnzkZNvwPstq829QYz_xALlO1Z0s8/edit?"&amp;"usp=share_link"",""นครศรีธรรมราช!L58"")+IMPORTRANGE(""https://docs.google.com/spreadsheets/d/1BeghqumK0IvCmRd2QOy6_afsZq7ZtAGrSnVJy2u7WmY/edit?usp=share_link"",""นราธิวาส!L58"")+IMPORTRANGE(""https://docs.google.com/spreadsheets/d/1IwnW3-jjRf74MCLW-6PiFwM"&amp;"UffRQXZwZA7YM609NmRc/edit?usp=share_link"",""ปัตตานี!L58"")+IMPORTRANGE(""https://docs.google.com/spreadsheets/d/1vl4QWbWdFruual5o_wdo6ZSqXZ_it806oja4CctTLKs/edit?usp=share_link"",""พังงา!L58"")+IMPORTRANGE(""https://docs.google.com/spreadsheets/d/1b6QssH"&amp;"Qp2FoAPSMKHOy273KNzAomaIKhtdlvuZ_zDNE/edit?usp=share_link"",""พัทลุง!L58"")+IMPORTRANGE(""https://docs.google.com/spreadsheets/d/1o7UZe4_OqlqtLDHrj01Z2YFRSZDf1DMy1n3XViHaxRc/edit?usp=share_link"",""ภูเก็ต!L58"")+IMPORTRANGE(""https://docs.google.com/sprea"&amp;"dsheets/d/1ctPm1vUzcUCPuOj9-eoHUD85PqINFqUB0TjdSWmR5-c/edit?usp=share_link"",""ยะลา!L58"")+IMPORTRANGE(""https://docs.google.com/spreadsheets/d/1YiDIE7Klmt8osgdapRqYWNr7iPGFSsiJqq46S7PYRE0/edit?usp=share_link"",""ระนอง!L58"")+IMPORTRANGE(""https://docs.go"&amp;"ogle.com/spreadsheets/d/16o_4B-V7AWw_6E93bSpXj_XxVv1oVQctk-B6z1dNEWU/edit?usp=share_link"",""สงขลา!L58"")+IMPORTRANGE(""https://docs.google.com/spreadsheets/d/16cywr71Fj4fA5OGRHsZh30ZG2gwJhMAQv69oVBzYHv0/edit?usp=share_link"",""สตูล!L58"")+IMPORTRANGE(""h"&amp;"ttps://docs.google.com/spreadsheets/d/1vO9Sws6kMtrVtyvrAJptINXjK8TFBoX9xLYOVK_C8bQ/edit?usp=share_link"",""สุราษฎร์ธานี!L58"")"),8816200)</f>
        <v>8816200</v>
      </c>
      <c r="M58" s="45">
        <f ca="1">IFERROR(__xludf.DUMMYFUNCTION("IMPORTRANGE(""https://docs.google.com/spreadsheets/d/1kC41EOXpGBFOW658Fs3oD8beYlym0-zO54WY-2Qnp9I/edit?usp=share_link"",""กระบี่!M58"")
+IMPORTRANGE(""https://docs.google.com/spreadsheets/d/1FbzMZY_f3MDiEuK7RpCQKrilJ_kpX0Wm7QBZ1L7EjIU/edit?usp=share_link"&amp;""",""ชุมพร!M58"")+IMPORTRANGE(""https://docs.google.com/spreadsheets/d/1v5sN-00LrXuhBxw4dkh2GrG_z4l5oAqOdJRBCsUyMaM/edit?usp=share_link"",""ตรัง!M58"")+IMPORTRANGE(""https://docs.google.com/spreadsheets/d/1T5rRTzFc79aSIvqnzkZNvwPstq829QYz_xALlO1Z0s8/edit?"&amp;"usp=share_link"",""นครศรีธรรมราช!M58"")+IMPORTRANGE(""https://docs.google.com/spreadsheets/d/1BeghqumK0IvCmRd2QOy6_afsZq7ZtAGrSnVJy2u7WmY/edit?usp=share_link"",""นราธิวาส!M58"")+IMPORTRANGE(""https://docs.google.com/spreadsheets/d/1IwnW3-jjRf74MCLW-6PiFwM"&amp;"UffRQXZwZA7YM609NmRc/edit?usp=share_link"",""ปัตตานี!M58"")+IMPORTRANGE(""https://docs.google.com/spreadsheets/d/1vl4QWbWdFruual5o_wdo6ZSqXZ_it806oja4CctTLKs/edit?usp=share_link"",""พังงา!M58"")+IMPORTRANGE(""https://docs.google.com/spreadsheets/d/1b6QssH"&amp;"Qp2FoAPSMKHOy273KNzAomaIKhtdlvuZ_zDNE/edit?usp=share_link"",""พัทลุง!M58"")+IMPORTRANGE(""https://docs.google.com/spreadsheets/d/1o7UZe4_OqlqtLDHrj01Z2YFRSZDf1DMy1n3XViHaxRc/edit?usp=share_link"",""ภูเก็ต!M58"")+IMPORTRANGE(""https://docs.google.com/sprea"&amp;"dsheets/d/1ctPm1vUzcUCPuOj9-eoHUD85PqINFqUB0TjdSWmR5-c/edit?usp=share_link"",""ยะลา!M58"")+IMPORTRANGE(""https://docs.google.com/spreadsheets/d/1YiDIE7Klmt8osgdapRqYWNr7iPGFSsiJqq46S7PYRE0/edit?usp=share_link"",""ระนอง!M58"")+IMPORTRANGE(""https://docs.go"&amp;"ogle.com/spreadsheets/d/16o_4B-V7AWw_6E93bSpXj_XxVv1oVQctk-B6z1dNEWU/edit?usp=share_link"",""สงขลา!M58"")+IMPORTRANGE(""https://docs.google.com/spreadsheets/d/16cywr71Fj4fA5OGRHsZh30ZG2gwJhMAQv69oVBzYHv0/edit?usp=share_link"",""สตูล!M58"")+IMPORTRANGE(""h"&amp;"ttps://docs.google.com/spreadsheets/d/1vO9Sws6kMtrVtyvrAJptINXjK8TFBoX9xLYOVK_C8bQ/edit?usp=share_link"",""สุราษฎร์ธานี!M58"")"),8976258)</f>
        <v>8976258</v>
      </c>
      <c r="N58" s="45">
        <f ca="1">IFERROR(__xludf.DUMMYFUNCTION("IMPORTRANGE(""https://docs.google.com/spreadsheets/d/1kC41EOXpGBFOW658Fs3oD8beYlym0-zO54WY-2Qnp9I/edit?usp=share_link"",""กระบี่!N58"")
+IMPORTRANGE(""https://docs.google.com/spreadsheets/d/1FbzMZY_f3MDiEuK7RpCQKrilJ_kpX0Wm7QBZ1L7EjIU/edit?usp=share_link"&amp;""",""ชุมพร!N58"")+IMPORTRANGE(""https://docs.google.com/spreadsheets/d/1v5sN-00LrXuhBxw4dkh2GrG_z4l5oAqOdJRBCsUyMaM/edit?usp=share_link"",""ตรัง!N58"")+IMPORTRANGE(""https://docs.google.com/spreadsheets/d/1T5rRTzFc79aSIvqnzkZNvwPstq829QYz_xALlO1Z0s8/edit?"&amp;"usp=share_link"",""นครศรีธรรมราช!N58"")+IMPORTRANGE(""https://docs.google.com/spreadsheets/d/1BeghqumK0IvCmRd2QOy6_afsZq7ZtAGrSnVJy2u7WmY/edit?usp=share_link"",""นราธิวาส!N58"")+IMPORTRANGE(""https://docs.google.com/spreadsheets/d/1IwnW3-jjRf74MCLW-6PiFwM"&amp;"UffRQXZwZA7YM609NmRc/edit?usp=share_link"",""ปัตตานี!N58"")+IMPORTRANGE(""https://docs.google.com/spreadsheets/d/1vl4QWbWdFruual5o_wdo6ZSqXZ_it806oja4CctTLKs/edit?usp=share_link"",""พังงา!N58"")+IMPORTRANGE(""https://docs.google.com/spreadsheets/d/1b6QssH"&amp;"Qp2FoAPSMKHOy273KNzAomaIKhtdlvuZ_zDNE/edit?usp=share_link"",""พัทลุง!N58"")+IMPORTRANGE(""https://docs.google.com/spreadsheets/d/1o7UZe4_OqlqtLDHrj01Z2YFRSZDf1DMy1n3XViHaxRc/edit?usp=share_link"",""ภูเก็ต!N58"")+IMPORTRANGE(""https://docs.google.com/sprea"&amp;"dsheets/d/1ctPm1vUzcUCPuOj9-eoHUD85PqINFqUB0TjdSWmR5-c/edit?usp=share_link"",""ยะลา!N58"")+IMPORTRANGE(""https://docs.google.com/spreadsheets/d/1YiDIE7Klmt8osgdapRqYWNr7iPGFSsiJqq46S7PYRE0/edit?usp=share_link"",""ระนอง!N58"")+IMPORTRANGE(""https://docs.go"&amp;"ogle.com/spreadsheets/d/16o_4B-V7AWw_6E93bSpXj_XxVv1oVQctk-B6z1dNEWU/edit?usp=share_link"",""สงขลา!N58"")+IMPORTRANGE(""https://docs.google.com/spreadsheets/d/16cywr71Fj4fA5OGRHsZh30ZG2gwJhMAQv69oVBzYHv0/edit?usp=share_link"",""สตูล!N58"")+IMPORTRANGE(""h"&amp;"ttps://docs.google.com/spreadsheets/d/1vO9Sws6kMtrVtyvrAJptINXjK8TFBoX9xLYOVK_C8bQ/edit?usp=share_link"",""สุราษฎร์ธานี!N58"")"),7723137.27)</f>
        <v>7723137.2699999996</v>
      </c>
      <c r="O58" s="45">
        <f t="shared" ca="1" si="42"/>
        <v>87.601656836278664</v>
      </c>
      <c r="P58" s="45">
        <f t="shared" ca="1" si="43"/>
        <v>86.039608821404201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5248700</v>
      </c>
      <c r="M59" s="38">
        <f t="shared" ca="1" si="47"/>
        <v>3982150</v>
      </c>
      <c r="N59" s="38">
        <f t="shared" ca="1" si="47"/>
        <v>3915050</v>
      </c>
      <c r="O59" s="38">
        <f t="shared" ca="1" si="42"/>
        <v>74.590851067883477</v>
      </c>
      <c r="P59" s="38">
        <f t="shared" ca="1" si="43"/>
        <v>98.314980600931662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IFERROR(__xludf.DUMMYFUNCTION("IMPORTRANGE(""https://docs.google.com/spreadsheets/d/1kC41EOXpGBFOW658Fs3oD8beYlym0-zO54WY-2Qnp9I/edit?usp=share_link"",""กระบี่!L61"")
+IMPORTRANGE(""https://docs.google.com/spreadsheets/d/1FbzMZY_f3MDiEuK7RpCQKrilJ_kpX0Wm7QBZ1L7EjIU/edit?usp=share_link"&amp;""",""ชุมพร!L61"")+IMPORTRANGE(""https://docs.google.com/spreadsheets/d/1v5sN-00LrXuhBxw4dkh2GrG_z4l5oAqOdJRBCsUyMaM/edit?usp=share_link"",""ตรัง!L61"")+IMPORTRANGE(""https://docs.google.com/spreadsheets/d/1T5rRTzFc79aSIvqnzkZNvwPstq829QYz_xALlO1Z0s8/edit?"&amp;"usp=share_link"",""นครศรีธรรมราช!L61"")+IMPORTRANGE(""https://docs.google.com/spreadsheets/d/1BeghqumK0IvCmRd2QOy6_afsZq7ZtAGrSnVJy2u7WmY/edit?usp=share_link"",""นราธิวาส!L61"")+IMPORTRANGE(""https://docs.google.com/spreadsheets/d/1IwnW3-jjRf74MCLW-6PiFwM"&amp;"UffRQXZwZA7YM609NmRc/edit?usp=share_link"",""ปัตตานี!L61"")+IMPORTRANGE(""https://docs.google.com/spreadsheets/d/1vl4QWbWdFruual5o_wdo6ZSqXZ_it806oja4CctTLKs/edit?usp=share_link"",""พังงา!L61"")+IMPORTRANGE(""https://docs.google.com/spreadsheets/d/1b6QssH"&amp;"Qp2FoAPSMKHOy273KNzAomaIKhtdlvuZ_zDNE/edit?usp=share_link"",""พัทลุง!L61"")+IMPORTRANGE(""https://docs.google.com/spreadsheets/d/1o7UZe4_OqlqtLDHrj01Z2YFRSZDf1DMy1n3XViHaxRc/edit?usp=share_link"",""ภูเก็ต!L61"")+IMPORTRANGE(""https://docs.google.com/sprea"&amp;"dsheets/d/1ctPm1vUzcUCPuOj9-eoHUD85PqINFqUB0TjdSWmR5-c/edit?usp=share_link"",""ยะลา!L61"")+IMPORTRANGE(""https://docs.google.com/spreadsheets/d/1YiDIE7Klmt8osgdapRqYWNr7iPGFSsiJqq46S7PYRE0/edit?usp=share_link"",""ระนอง!L61"")+IMPORTRANGE(""https://docs.go"&amp;"ogle.com/spreadsheets/d/16o_4B-V7AWw_6E93bSpXj_XxVv1oVQctk-B6z1dNEWU/edit?usp=share_link"",""สงขลา!L61"")+IMPORTRANGE(""https://docs.google.com/spreadsheets/d/16cywr71Fj4fA5OGRHsZh30ZG2gwJhMAQv69oVBzYHv0/edit?usp=share_link"",""สตูล!L61"")+IMPORTRANGE(""h"&amp;"ttps://docs.google.com/spreadsheets/d/1vO9Sws6kMtrVtyvrAJptINXjK8TFBoX9xLYOVK_C8bQ/edit?usp=share_link"",""สุราษฎร์ธานี!L61"")"),5248700)</f>
        <v>5248700</v>
      </c>
      <c r="M61" s="52">
        <f ca="1">IFERROR(__xludf.DUMMYFUNCTION("IMPORTRANGE(""https://docs.google.com/spreadsheets/d/1kC41EOXpGBFOW658Fs3oD8beYlym0-zO54WY-2Qnp9I/edit?usp=share_link"",""กระบี่!M61"")
+IMPORTRANGE(""https://docs.google.com/spreadsheets/d/1FbzMZY_f3MDiEuK7RpCQKrilJ_kpX0Wm7QBZ1L7EjIU/edit?usp=share_link"&amp;""",""ชุมพร!M61"")+IMPORTRANGE(""https://docs.google.com/spreadsheets/d/1v5sN-00LrXuhBxw4dkh2GrG_z4l5oAqOdJRBCsUyMaM/edit?usp=share_link"",""ตรัง!M61"")+IMPORTRANGE(""https://docs.google.com/spreadsheets/d/1T5rRTzFc79aSIvqnzkZNvwPstq829QYz_xALlO1Z0s8/edit?"&amp;"usp=share_link"",""นครศรีธรรมราช!M61"")+IMPORTRANGE(""https://docs.google.com/spreadsheets/d/1BeghqumK0IvCmRd2QOy6_afsZq7ZtAGrSnVJy2u7WmY/edit?usp=share_link"",""นราธิวาส!M61"")+IMPORTRANGE(""https://docs.google.com/spreadsheets/d/1IwnW3-jjRf74MCLW-6PiFwM"&amp;"UffRQXZwZA7YM609NmRc/edit?usp=share_link"",""ปัตตานี!M61"")+IMPORTRANGE(""https://docs.google.com/spreadsheets/d/1vl4QWbWdFruual5o_wdo6ZSqXZ_it806oja4CctTLKs/edit?usp=share_link"",""พังงา!M61"")+IMPORTRANGE(""https://docs.google.com/spreadsheets/d/1b6QssH"&amp;"Qp2FoAPSMKHOy273KNzAomaIKhtdlvuZ_zDNE/edit?usp=share_link"",""พัทลุง!M61"")+IMPORTRANGE(""https://docs.google.com/spreadsheets/d/1o7UZe4_OqlqtLDHrj01Z2YFRSZDf1DMy1n3XViHaxRc/edit?usp=share_link"",""ภูเก็ต!M61"")+IMPORTRANGE(""https://docs.google.com/sprea"&amp;"dsheets/d/1ctPm1vUzcUCPuOj9-eoHUD85PqINFqUB0TjdSWmR5-c/edit?usp=share_link"",""ยะลา!M61"")+IMPORTRANGE(""https://docs.google.com/spreadsheets/d/1YiDIE7Klmt8osgdapRqYWNr7iPGFSsiJqq46S7PYRE0/edit?usp=share_link"",""ระนอง!M61"")+IMPORTRANGE(""https://docs.go"&amp;"ogle.com/spreadsheets/d/16o_4B-V7AWw_6E93bSpXj_XxVv1oVQctk-B6z1dNEWU/edit?usp=share_link"",""สงขลา!M61"")+IMPORTRANGE(""https://docs.google.com/spreadsheets/d/16cywr71Fj4fA5OGRHsZh30ZG2gwJhMAQv69oVBzYHv0/edit?usp=share_link"",""สตูล!M61"")+IMPORTRANGE(""h"&amp;"ttps://docs.google.com/spreadsheets/d/1vO9Sws6kMtrVtyvrAJptINXjK8TFBoX9xLYOVK_C8bQ/edit?usp=share_link"",""สุราษฎร์ธานี!M61"")"),3982150)</f>
        <v>3982150</v>
      </c>
      <c r="N61" s="52">
        <f ca="1">IFERROR(__xludf.DUMMYFUNCTION("IMPORTRANGE(""https://docs.google.com/spreadsheets/d/1kC41EOXpGBFOW658Fs3oD8beYlym0-zO54WY-2Qnp9I/edit?usp=share_link"",""กระบี่!N61"")
+IMPORTRANGE(""https://docs.google.com/spreadsheets/d/1FbzMZY_f3MDiEuK7RpCQKrilJ_kpX0Wm7QBZ1L7EjIU/edit?usp=share_link"&amp;""",""ชุมพร!N61"")+IMPORTRANGE(""https://docs.google.com/spreadsheets/d/1v5sN-00LrXuhBxw4dkh2GrG_z4l5oAqOdJRBCsUyMaM/edit?usp=share_link"",""ตรัง!N61"")+IMPORTRANGE(""https://docs.google.com/spreadsheets/d/1T5rRTzFc79aSIvqnzkZNvwPstq829QYz_xALlO1Z0s8/edit?"&amp;"usp=share_link"",""นครศรีธรรมราช!N61"")+IMPORTRANGE(""https://docs.google.com/spreadsheets/d/1BeghqumK0IvCmRd2QOy6_afsZq7ZtAGrSnVJy2u7WmY/edit?usp=share_link"",""นราธิวาส!N61"")+IMPORTRANGE(""https://docs.google.com/spreadsheets/d/1IwnW3-jjRf74MCLW-6PiFwM"&amp;"UffRQXZwZA7YM609NmRc/edit?usp=share_link"",""ปัตตานี!N61"")+IMPORTRANGE(""https://docs.google.com/spreadsheets/d/1vl4QWbWdFruual5o_wdo6ZSqXZ_it806oja4CctTLKs/edit?usp=share_link"",""พังงา!N61"")+IMPORTRANGE(""https://docs.google.com/spreadsheets/d/1b6QssH"&amp;"Qp2FoAPSMKHOy273KNzAomaIKhtdlvuZ_zDNE/edit?usp=share_link"",""พัทลุง!N61"")+IMPORTRANGE(""https://docs.google.com/spreadsheets/d/1o7UZe4_OqlqtLDHrj01Z2YFRSZDf1DMy1n3XViHaxRc/edit?usp=share_link"",""ภูเก็ต!N61"")+IMPORTRANGE(""https://docs.google.com/sprea"&amp;"dsheets/d/1ctPm1vUzcUCPuOj9-eoHUD85PqINFqUB0TjdSWmR5-c/edit?usp=share_link"",""ยะลา!N61"")+IMPORTRANGE(""https://docs.google.com/spreadsheets/d/1YiDIE7Klmt8osgdapRqYWNr7iPGFSsiJqq46S7PYRE0/edit?usp=share_link"",""ระนอง!N61"")+IMPORTRANGE(""https://docs.go"&amp;"ogle.com/spreadsheets/d/16o_4B-V7AWw_6E93bSpXj_XxVv1oVQctk-B6z1dNEWU/edit?usp=share_link"",""สงขลา!N61"")+IMPORTRANGE(""https://docs.google.com/spreadsheets/d/16cywr71Fj4fA5OGRHsZh30ZG2gwJhMAQv69oVBzYHv0/edit?usp=share_link"",""สตูล!N61"")+IMPORTRANGE(""h"&amp;"ttps://docs.google.com/spreadsheets/d/1vO9Sws6kMtrVtyvrAJptINXjK8TFBoX9xLYOVK_C8bQ/edit?usp=share_link"",""สุราษฎร์ธานี!N61"")"),3915050)</f>
        <v>3915050</v>
      </c>
      <c r="O61" s="52">
        <f t="shared" ca="1" si="42"/>
        <v>74.590851067883477</v>
      </c>
      <c r="P61" s="52">
        <f t="shared" ca="1" si="43"/>
        <v>98.314980600931662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4</v>
      </c>
      <c r="J64" s="144">
        <f t="shared" ca="1" si="48"/>
        <v>4</v>
      </c>
      <c r="K64" s="145">
        <f t="shared" ref="K64:K65" ca="1" si="49">IF(I64&gt;0,J64*100/I64,0)</f>
        <v>100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120</v>
      </c>
      <c r="J65" s="144">
        <f t="shared" ca="1" si="50"/>
        <v>120</v>
      </c>
      <c r="K65" s="145">
        <f t="shared" ca="1" si="49"/>
        <v>100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2784200</v>
      </c>
      <c r="M66" s="155">
        <f t="shared" ca="1" si="51"/>
        <v>3044200</v>
      </c>
      <c r="N66" s="155">
        <f t="shared" ca="1" si="51"/>
        <v>2343977.08</v>
      </c>
      <c r="O66" s="155">
        <f t="shared" ref="O66:O74" ca="1" si="52">IF(L66&gt;0,N66*100/L66,0)</f>
        <v>84.188530996336468</v>
      </c>
      <c r="P66" s="155">
        <f t="shared" ref="P66:P74" ca="1" si="53">IF(M66&gt;0,N66*100/M66,0)</f>
        <v>76.998130214834774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2784200</v>
      </c>
      <c r="M68" s="45">
        <f t="shared" ca="1" si="55"/>
        <v>3044200</v>
      </c>
      <c r="N68" s="45">
        <f t="shared" ca="1" si="55"/>
        <v>2343977.08</v>
      </c>
      <c r="O68" s="45">
        <f t="shared" ca="1" si="52"/>
        <v>84.188530996336468</v>
      </c>
      <c r="P68" s="45">
        <f t="shared" ca="1" si="53"/>
        <v>76.998130214834774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2784200</v>
      </c>
      <c r="M69" s="38">
        <f t="shared" ca="1" si="56"/>
        <v>3044200</v>
      </c>
      <c r="N69" s="38">
        <f t="shared" ca="1" si="56"/>
        <v>2343977.08</v>
      </c>
      <c r="O69" s="38">
        <f t="shared" ca="1" si="52"/>
        <v>84.188530996336468</v>
      </c>
      <c r="P69" s="38">
        <f t="shared" ca="1" si="53"/>
        <v>76.998130214834774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IFERROR(__xludf.DUMMYFUNCTION("IMPORTRANGE(""https://docs.google.com/spreadsheets/d/1kC41EOXpGBFOW658Fs3oD8beYlym0-zO54WY-2Qnp9I/edit?usp=share_link"",""กระบี่!L71"")
+IMPORTRANGE(""https://docs.google.com/spreadsheets/d/1FbzMZY_f3MDiEuK7RpCQKrilJ_kpX0Wm7QBZ1L7EjIU/edit?usp=share_link"&amp;""",""ชุมพร!L71"")+IMPORTRANGE(""https://docs.google.com/spreadsheets/d/1v5sN-00LrXuhBxw4dkh2GrG_z4l5oAqOdJRBCsUyMaM/edit?usp=share_link"",""ตรัง!L71"")+IMPORTRANGE(""https://docs.google.com/spreadsheets/d/1T5rRTzFc79aSIvqnzkZNvwPstq829QYz_xALlO1Z0s8/edit?"&amp;"usp=share_link"",""นครศรีธรรมราช!L71"")+IMPORTRANGE(""https://docs.google.com/spreadsheets/d/1BeghqumK0IvCmRd2QOy6_afsZq7ZtAGrSnVJy2u7WmY/edit?usp=share_link"",""นราธิวาส!L71"")+IMPORTRANGE(""https://docs.google.com/spreadsheets/d/1IwnW3-jjRf74MCLW-6PiFwM"&amp;"UffRQXZwZA7YM609NmRc/edit?usp=share_link"",""ปัตตานี!L71"")+IMPORTRANGE(""https://docs.google.com/spreadsheets/d/1vl4QWbWdFruual5o_wdo6ZSqXZ_it806oja4CctTLKs/edit?usp=share_link"",""พังงา!L71"")+IMPORTRANGE(""https://docs.google.com/spreadsheets/d/1b6QssH"&amp;"Qp2FoAPSMKHOy273KNzAomaIKhtdlvuZ_zDNE/edit?usp=share_link"",""พัทลุง!L71"")+IMPORTRANGE(""https://docs.google.com/spreadsheets/d/1o7UZe4_OqlqtLDHrj01Z2YFRSZDf1DMy1n3XViHaxRc/edit?usp=share_link"",""ภูเก็ต!L71"")+IMPORTRANGE(""https://docs.google.com/sprea"&amp;"dsheets/d/1ctPm1vUzcUCPuOj9-eoHUD85PqINFqUB0TjdSWmR5-c/edit?usp=share_link"",""ยะลา!L71"")+IMPORTRANGE(""https://docs.google.com/spreadsheets/d/1YiDIE7Klmt8osgdapRqYWNr7iPGFSsiJqq46S7PYRE0/edit?usp=share_link"",""ระนอง!L71"")+IMPORTRANGE(""https://docs.go"&amp;"ogle.com/spreadsheets/d/16o_4B-V7AWw_6E93bSpXj_XxVv1oVQctk-B6z1dNEWU/edit?usp=share_link"",""สงขลา!L71"")+IMPORTRANGE(""https://docs.google.com/spreadsheets/d/16cywr71Fj4fA5OGRHsZh30ZG2gwJhMAQv69oVBzYHv0/edit?usp=share_link"",""สตูล!L71"")+IMPORTRANGE(""h"&amp;"ttps://docs.google.com/spreadsheets/d/1vO9Sws6kMtrVtyvrAJptINXjK8TFBoX9xLYOVK_C8bQ/edit?usp=share_link"",""สุราษฎร์ธานี!L71"")"),2784200)</f>
        <v>2784200</v>
      </c>
      <c r="M71" s="45">
        <f ca="1">IFERROR(__xludf.DUMMYFUNCTION("IMPORTRANGE(""https://docs.google.com/spreadsheets/d/1kC41EOXpGBFOW658Fs3oD8beYlym0-zO54WY-2Qnp9I/edit?usp=share_link"",""กระบี่!M71"")
+IMPORTRANGE(""https://docs.google.com/spreadsheets/d/1FbzMZY_f3MDiEuK7RpCQKrilJ_kpX0Wm7QBZ1L7EjIU/edit?usp=share_link"&amp;""",""ชุมพร!M71"")+IMPORTRANGE(""https://docs.google.com/spreadsheets/d/1v5sN-00LrXuhBxw4dkh2GrG_z4l5oAqOdJRBCsUyMaM/edit?usp=share_link"",""ตรัง!M71"")+IMPORTRANGE(""https://docs.google.com/spreadsheets/d/1T5rRTzFc79aSIvqnzkZNvwPstq829QYz_xALlO1Z0s8/edit?"&amp;"usp=share_link"",""นครศรีธรรมราช!M71"")+IMPORTRANGE(""https://docs.google.com/spreadsheets/d/1BeghqumK0IvCmRd2QOy6_afsZq7ZtAGrSnVJy2u7WmY/edit?usp=share_link"",""นราธิวาส!M71"")+IMPORTRANGE(""https://docs.google.com/spreadsheets/d/1IwnW3-jjRf74MCLW-6PiFwM"&amp;"UffRQXZwZA7YM609NmRc/edit?usp=share_link"",""ปัตตานี!M71"")+IMPORTRANGE(""https://docs.google.com/spreadsheets/d/1vl4QWbWdFruual5o_wdo6ZSqXZ_it806oja4CctTLKs/edit?usp=share_link"",""พังงา!M71"")+IMPORTRANGE(""https://docs.google.com/spreadsheets/d/1b6QssH"&amp;"Qp2FoAPSMKHOy273KNzAomaIKhtdlvuZ_zDNE/edit?usp=share_link"",""พัทลุง!M71"")+IMPORTRANGE(""https://docs.google.com/spreadsheets/d/1o7UZe4_OqlqtLDHrj01Z2YFRSZDf1DMy1n3XViHaxRc/edit?usp=share_link"",""ภูเก็ต!M71"")+IMPORTRANGE(""https://docs.google.com/sprea"&amp;"dsheets/d/1ctPm1vUzcUCPuOj9-eoHUD85PqINFqUB0TjdSWmR5-c/edit?usp=share_link"",""ยะลา!M71"")+IMPORTRANGE(""https://docs.google.com/spreadsheets/d/1YiDIE7Klmt8osgdapRqYWNr7iPGFSsiJqq46S7PYRE0/edit?usp=share_link"",""ระนอง!M71"")+IMPORTRANGE(""https://docs.go"&amp;"ogle.com/spreadsheets/d/16o_4B-V7AWw_6E93bSpXj_XxVv1oVQctk-B6z1dNEWU/edit?usp=share_link"",""สงขลา!M71"")+IMPORTRANGE(""https://docs.google.com/spreadsheets/d/16cywr71Fj4fA5OGRHsZh30ZG2gwJhMAQv69oVBzYHv0/edit?usp=share_link"",""สตูล!M71"")+IMPORTRANGE(""h"&amp;"ttps://docs.google.com/spreadsheets/d/1vO9Sws6kMtrVtyvrAJptINXjK8TFBoX9xLYOVK_C8bQ/edit?usp=share_link"",""สุราษฎร์ธานี!M71"")"),3044200)</f>
        <v>3044200</v>
      </c>
      <c r="N71" s="45">
        <f ca="1">IFERROR(__xludf.DUMMYFUNCTION("IMPORTRANGE(""https://docs.google.com/spreadsheets/d/1kC41EOXpGBFOW658Fs3oD8beYlym0-zO54WY-2Qnp9I/edit?usp=share_link"",""กระบี่!N71"")
+IMPORTRANGE(""https://docs.google.com/spreadsheets/d/1FbzMZY_f3MDiEuK7RpCQKrilJ_kpX0Wm7QBZ1L7EjIU/edit?usp=share_link"&amp;""",""ชุมพร!N71"")+IMPORTRANGE(""https://docs.google.com/spreadsheets/d/1v5sN-00LrXuhBxw4dkh2GrG_z4l5oAqOdJRBCsUyMaM/edit?usp=share_link"",""ตรัง!N71"")+IMPORTRANGE(""https://docs.google.com/spreadsheets/d/1T5rRTzFc79aSIvqnzkZNvwPstq829QYz_xALlO1Z0s8/edit?"&amp;"usp=share_link"",""นครศรีธรรมราช!N71"")+IMPORTRANGE(""https://docs.google.com/spreadsheets/d/1BeghqumK0IvCmRd2QOy6_afsZq7ZtAGrSnVJy2u7WmY/edit?usp=share_link"",""นราธิวาส!N71"")+IMPORTRANGE(""https://docs.google.com/spreadsheets/d/1IwnW3-jjRf74MCLW-6PiFwM"&amp;"UffRQXZwZA7YM609NmRc/edit?usp=share_link"",""ปัตตานี!N71"")+IMPORTRANGE(""https://docs.google.com/spreadsheets/d/1vl4QWbWdFruual5o_wdo6ZSqXZ_it806oja4CctTLKs/edit?usp=share_link"",""พังงา!N71"")+IMPORTRANGE(""https://docs.google.com/spreadsheets/d/1b6QssH"&amp;"Qp2FoAPSMKHOy273KNzAomaIKhtdlvuZ_zDNE/edit?usp=share_link"",""พัทลุง!N71"")+IMPORTRANGE(""https://docs.google.com/spreadsheets/d/1o7UZe4_OqlqtLDHrj01Z2YFRSZDf1DMy1n3XViHaxRc/edit?usp=share_link"",""ภูเก็ต!N71"")+IMPORTRANGE(""https://docs.google.com/sprea"&amp;"dsheets/d/1ctPm1vUzcUCPuOj9-eoHUD85PqINFqUB0TjdSWmR5-c/edit?usp=share_link"",""ยะลา!N71"")+IMPORTRANGE(""https://docs.google.com/spreadsheets/d/1YiDIE7Klmt8osgdapRqYWNr7iPGFSsiJqq46S7PYRE0/edit?usp=share_link"",""ระนอง!N71"")+IMPORTRANGE(""https://docs.go"&amp;"ogle.com/spreadsheets/d/16o_4B-V7AWw_6E93bSpXj_XxVv1oVQctk-B6z1dNEWU/edit?usp=share_link"",""สงขลา!N71"")+IMPORTRANGE(""https://docs.google.com/spreadsheets/d/16cywr71Fj4fA5OGRHsZh30ZG2gwJhMAQv69oVBzYHv0/edit?usp=share_link"",""สตูล!N71"")+IMPORTRANGE(""h"&amp;"ttps://docs.google.com/spreadsheets/d/1vO9Sws6kMtrVtyvrAJptINXjK8TFBoX9xLYOVK_C8bQ/edit?usp=share_link"",""สุราษฎร์ธานี!N71"")"),2343977.08)</f>
        <v>2343977.08</v>
      </c>
      <c r="O71" s="45">
        <f t="shared" ca="1" si="52"/>
        <v>84.188530996336468</v>
      </c>
      <c r="P71" s="45">
        <f t="shared" ca="1" si="53"/>
        <v>76.998130214834774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IFERROR(__xludf.DUMMYFUNCTION("IMPORTRANGE(""https://docs.google.com/spreadsheets/d/1kC41EOXpGBFOW658Fs3oD8beYlym0-zO54WY-2Qnp9I/edit?usp=share_link"",""กระบี่!L74"")
+IMPORTRANGE(""https://docs.google.com/spreadsheets/d/1FbzMZY_f3MDiEuK7RpCQKrilJ_kpX0Wm7QBZ1L7EjIU/edit?usp=share_link"&amp;""",""ชุมพร!L74"")+IMPORTRANGE(""https://docs.google.com/spreadsheets/d/1v5sN-00LrXuhBxw4dkh2GrG_z4l5oAqOdJRBCsUyMaM/edit?usp=share_link"",""ตรัง!L74"")+IMPORTRANGE(""https://docs.google.com/spreadsheets/d/1T5rRTzFc79aSIvqnzkZNvwPstq829QYz_xALlO1Z0s8/edit?"&amp;"usp=share_link"",""นครศรีธรรมราช!L74"")+IMPORTRANGE(""https://docs.google.com/spreadsheets/d/1BeghqumK0IvCmRd2QOy6_afsZq7ZtAGrSnVJy2u7WmY/edit?usp=share_link"",""นราธิวาส!L74"")+IMPORTRANGE(""https://docs.google.com/spreadsheets/d/1IwnW3-jjRf74MCLW-6PiFwM"&amp;"UffRQXZwZA7YM609NmRc/edit?usp=share_link"",""ปัตตานี!L74"")+IMPORTRANGE(""https://docs.google.com/spreadsheets/d/1vl4QWbWdFruual5o_wdo6ZSqXZ_it806oja4CctTLKs/edit?usp=share_link"",""พังงา!L74"")+IMPORTRANGE(""https://docs.google.com/spreadsheets/d/1b6QssH"&amp;"Qp2FoAPSMKHOy273KNzAomaIKhtdlvuZ_zDNE/edit?usp=share_link"",""พัทลุง!L74"")+IMPORTRANGE(""https://docs.google.com/spreadsheets/d/1o7UZe4_OqlqtLDHrj01Z2YFRSZDf1DMy1n3XViHaxRc/edit?usp=share_link"",""ภูเก็ต!L74"")+IMPORTRANGE(""https://docs.google.com/sprea"&amp;"dsheets/d/1ctPm1vUzcUCPuOj9-eoHUD85PqINFqUB0TjdSWmR5-c/edit?usp=share_link"",""ยะลา!L74"")+IMPORTRANGE(""https://docs.google.com/spreadsheets/d/1YiDIE7Klmt8osgdapRqYWNr7iPGFSsiJqq46S7PYRE0/edit?usp=share_link"",""ระนอง!L74"")+IMPORTRANGE(""https://docs.go"&amp;"ogle.com/spreadsheets/d/16o_4B-V7AWw_6E93bSpXj_XxVv1oVQctk-B6z1dNEWU/edit?usp=share_link"",""สงขลา!L74"")+IMPORTRANGE(""https://docs.google.com/spreadsheets/d/16cywr71Fj4fA5OGRHsZh30ZG2gwJhMAQv69oVBzYHv0/edit?usp=share_link"",""สตูล!L74"")+IMPORTRANGE(""h"&amp;"ttps://docs.google.com/spreadsheets/d/1vO9Sws6kMtrVtyvrAJptINXjK8TFBoX9xLYOVK_C8bQ/edit?usp=share_link"",""สุราษฎร์ธานี!L74"")"),0)</f>
        <v>0</v>
      </c>
      <c r="M74" s="45">
        <f ca="1">IFERROR(__xludf.DUMMYFUNCTION("IMPORTRANGE(""https://docs.google.com/spreadsheets/d/1kC41EOXpGBFOW658Fs3oD8beYlym0-zO54WY-2Qnp9I/edit?usp=share_link"",""กระบี่!M74"")
+IMPORTRANGE(""https://docs.google.com/spreadsheets/d/1FbzMZY_f3MDiEuK7RpCQKrilJ_kpX0Wm7QBZ1L7EjIU/edit?usp=share_link"&amp;""",""ชุมพร!M74"")+IMPORTRANGE(""https://docs.google.com/spreadsheets/d/1v5sN-00LrXuhBxw4dkh2GrG_z4l5oAqOdJRBCsUyMaM/edit?usp=share_link"",""ตรัง!M74"")+IMPORTRANGE(""https://docs.google.com/spreadsheets/d/1T5rRTzFc79aSIvqnzkZNvwPstq829QYz_xALlO1Z0s8/edit?"&amp;"usp=share_link"",""นครศรีธรรมราช!M74"")+IMPORTRANGE(""https://docs.google.com/spreadsheets/d/1BeghqumK0IvCmRd2QOy6_afsZq7ZtAGrSnVJy2u7WmY/edit?usp=share_link"",""นราธิวาส!M74"")+IMPORTRANGE(""https://docs.google.com/spreadsheets/d/1IwnW3-jjRf74MCLW-6PiFwM"&amp;"UffRQXZwZA7YM609NmRc/edit?usp=share_link"",""ปัตตานี!M74"")+IMPORTRANGE(""https://docs.google.com/spreadsheets/d/1vl4QWbWdFruual5o_wdo6ZSqXZ_it806oja4CctTLKs/edit?usp=share_link"",""พังงา!M74"")+IMPORTRANGE(""https://docs.google.com/spreadsheets/d/1b6QssH"&amp;"Qp2FoAPSMKHOy273KNzAomaIKhtdlvuZ_zDNE/edit?usp=share_link"",""พัทลุง!M74"")+IMPORTRANGE(""https://docs.google.com/spreadsheets/d/1o7UZe4_OqlqtLDHrj01Z2YFRSZDf1DMy1n3XViHaxRc/edit?usp=share_link"",""ภูเก็ต!M74"")+IMPORTRANGE(""https://docs.google.com/sprea"&amp;"dsheets/d/1ctPm1vUzcUCPuOj9-eoHUD85PqINFqUB0TjdSWmR5-c/edit?usp=share_link"",""ยะลา!M74"")+IMPORTRANGE(""https://docs.google.com/spreadsheets/d/1YiDIE7Klmt8osgdapRqYWNr7iPGFSsiJqq46S7PYRE0/edit?usp=share_link"",""ระนอง!M74"")+IMPORTRANGE(""https://docs.go"&amp;"ogle.com/spreadsheets/d/16o_4B-V7AWw_6E93bSpXj_XxVv1oVQctk-B6z1dNEWU/edit?usp=share_link"",""สงขลา!M74"")+IMPORTRANGE(""https://docs.google.com/spreadsheets/d/16cywr71Fj4fA5OGRHsZh30ZG2gwJhMAQv69oVBzYHv0/edit?usp=share_link"",""สตูล!M74"")+IMPORTRANGE(""h"&amp;"ttps://docs.google.com/spreadsheets/d/1vO9Sws6kMtrVtyvrAJptINXjK8TFBoX9xLYOVK_C8bQ/edit?usp=share_link"",""สุราษฎร์ธานี!M74"")"),0)</f>
        <v>0</v>
      </c>
      <c r="N74" s="45">
        <f ca="1">IFERROR(__xludf.DUMMYFUNCTION("IMPORTRANGE(""https://docs.google.com/spreadsheets/d/1kC41EOXpGBFOW658Fs3oD8beYlym0-zO54WY-2Qnp9I/edit?usp=share_link"",""กระบี่!N74"")
+IMPORTRANGE(""https://docs.google.com/spreadsheets/d/1FbzMZY_f3MDiEuK7RpCQKrilJ_kpX0Wm7QBZ1L7EjIU/edit?usp=share_link"&amp;""",""ชุมพร!N74"")+IMPORTRANGE(""https://docs.google.com/spreadsheets/d/1v5sN-00LrXuhBxw4dkh2GrG_z4l5oAqOdJRBCsUyMaM/edit?usp=share_link"",""ตรัง!N74"")+IMPORTRANGE(""https://docs.google.com/spreadsheets/d/1T5rRTzFc79aSIvqnzkZNvwPstq829QYz_xALlO1Z0s8/edit?"&amp;"usp=share_link"",""นครศรีธรรมราช!N74"")+IMPORTRANGE(""https://docs.google.com/spreadsheets/d/1BeghqumK0IvCmRd2QOy6_afsZq7ZtAGrSnVJy2u7WmY/edit?usp=share_link"",""นราธิวาส!N74"")+IMPORTRANGE(""https://docs.google.com/spreadsheets/d/1IwnW3-jjRf74MCLW-6PiFwM"&amp;"UffRQXZwZA7YM609NmRc/edit?usp=share_link"",""ปัตตานี!N74"")+IMPORTRANGE(""https://docs.google.com/spreadsheets/d/1vl4QWbWdFruual5o_wdo6ZSqXZ_it806oja4CctTLKs/edit?usp=share_link"",""พังงา!N74"")+IMPORTRANGE(""https://docs.google.com/spreadsheets/d/1b6QssH"&amp;"Qp2FoAPSMKHOy273KNzAomaIKhtdlvuZ_zDNE/edit?usp=share_link"",""พัทลุง!N74"")+IMPORTRANGE(""https://docs.google.com/spreadsheets/d/1o7UZe4_OqlqtLDHrj01Z2YFRSZDf1DMy1n3XViHaxRc/edit?usp=share_link"",""ภูเก็ต!N74"")+IMPORTRANGE(""https://docs.google.com/sprea"&amp;"dsheets/d/1ctPm1vUzcUCPuOj9-eoHUD85PqINFqUB0TjdSWmR5-c/edit?usp=share_link"",""ยะลา!N74"")+IMPORTRANGE(""https://docs.google.com/spreadsheets/d/1YiDIE7Klmt8osgdapRqYWNr7iPGFSsiJqq46S7PYRE0/edit?usp=share_link"",""ระนอง!N74"")+IMPORTRANGE(""https://docs.go"&amp;"ogle.com/spreadsheets/d/16o_4B-V7AWw_6E93bSpXj_XxVv1oVQctk-B6z1dNEWU/edit?usp=share_link"",""สงขลา!N74"")+IMPORTRANGE(""https://docs.google.com/spreadsheets/d/16cywr71Fj4fA5OGRHsZh30ZG2gwJhMAQv69oVBzYHv0/edit?usp=share_link"",""สตูล!N74"")+IMPORTRANGE(""h"&amp;"ttps://docs.google.com/spreadsheets/d/1vO9Sws6kMtrVtyvrAJptINXjK8TFBoX9xLYOVK_C8bQ/edit?usp=share_link"",""สุราษฎร์ธานี!N74"")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4</v>
      </c>
      <c r="J76" s="37">
        <f t="shared" ca="1" si="58"/>
        <v>4</v>
      </c>
      <c r="K76" s="163">
        <f t="shared" ref="K76:K84" ca="1" si="59">IF(I76&gt;0,J76*100/I76,0)</f>
        <v>100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120</v>
      </c>
      <c r="J77" s="37">
        <f t="shared" ca="1" si="60"/>
        <v>120</v>
      </c>
      <c r="K77" s="163">
        <f t="shared" ca="1" si="59"/>
        <v>100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IFERROR(__xludf.DUMMYFUNCTION("IMPORTRANGE(""https://docs.google.com/spreadsheets/d/1kC41EOXpGBFOW658Fs3oD8beYlym0-zO54WY-2Qnp9I/edit?usp=share_link"",""กระบี่!I78"")
+IMPORTRANGE(""https://docs.google.com/spreadsheets/d/1FbzMZY_f3MDiEuK7RpCQKrilJ_kpX0Wm7QBZ1L7EjIU/edit?usp=share_link"&amp;""",""ชุมพร!I78"")+IMPORTRANGE(""https://docs.google.com/spreadsheets/d/1v5sN-00LrXuhBxw4dkh2GrG_z4l5oAqOdJRBCsUyMaM/edit?usp=share_link"",""ตรัง!I78"")+IMPORTRANGE(""https://docs.google.com/spreadsheets/d/1T5rRTzFc79aSIvqnzkZNvwPstq829QYz_xALlO1Z0s8/edit?"&amp;"usp=share_link"",""นครศรีธรรมราช!I78"")+IMPORTRANGE(""https://docs.google.com/spreadsheets/d/1BeghqumK0IvCmRd2QOy6_afsZq7ZtAGrSnVJy2u7WmY/edit?usp=share_link"",""นราธิวาส!I78"")+IMPORTRANGE(""https://docs.google.com/spreadsheets/d/1IwnW3-jjRf74MCLW-6PiFwM"&amp;"UffRQXZwZA7YM609NmRc/edit?usp=share_link"",""ปัตตานี!I78"")+IMPORTRANGE(""https://docs.google.com/spreadsheets/d/1vl4QWbWdFruual5o_wdo6ZSqXZ_it806oja4CctTLKs/edit?usp=share_link"",""พังงา!I78"")+IMPORTRANGE(""https://docs.google.com/spreadsheets/d/1b6QssH"&amp;"Qp2FoAPSMKHOy273KNzAomaIKhtdlvuZ_zDNE/edit?usp=share_link"",""พัทลุง!I78"")+IMPORTRANGE(""https://docs.google.com/spreadsheets/d/1o7UZe4_OqlqtLDHrj01Z2YFRSZDf1DMy1n3XViHaxRc/edit?usp=share_link"",""ภูเก็ต!I78"")+IMPORTRANGE(""https://docs.google.com/sprea"&amp;"dsheets/d/1ctPm1vUzcUCPuOj9-eoHUD85PqINFqUB0TjdSWmR5-c/edit?usp=share_link"",""ยะลา!I78"")+IMPORTRANGE(""https://docs.google.com/spreadsheets/d/1YiDIE7Klmt8osgdapRqYWNr7iPGFSsiJqq46S7PYRE0/edit?usp=share_link"",""ระนอง!I78"")+IMPORTRANGE(""https://docs.go"&amp;"ogle.com/spreadsheets/d/16o_4B-V7AWw_6E93bSpXj_XxVv1oVQctk-B6z1dNEWU/edit?usp=share_link"",""สงขลา!I78"")+IMPORTRANGE(""https://docs.google.com/spreadsheets/d/16cywr71Fj4fA5OGRHsZh30ZG2gwJhMAQv69oVBzYHv0/edit?usp=share_link"",""สตูล!I78"")+IMPORTRANGE(""h"&amp;"ttps://docs.google.com/spreadsheets/d/1vO9Sws6kMtrVtyvrAJptINXjK8TFBoX9xLYOVK_C8bQ/edit?usp=share_link"",""สุราษฎร์ธานี!I78"")"),2)</f>
        <v>2</v>
      </c>
      <c r="J78" s="183">
        <f ca="1">IFERROR(__xludf.DUMMYFUNCTION("IMPORTRANGE(""https://docs.google.com/spreadsheets/d/1kC41EOXpGBFOW658Fs3oD8beYlym0-zO54WY-2Qnp9I/edit?usp=share_link"",""กระบี่!J78"")
+IMPORTRANGE(""https://docs.google.com/spreadsheets/d/1FbzMZY_f3MDiEuK7RpCQKrilJ_kpX0Wm7QBZ1L7EjIU/edit?usp=share_link"&amp;""",""ชุมพร!J78"")+IMPORTRANGE(""https://docs.google.com/spreadsheets/d/1v5sN-00LrXuhBxw4dkh2GrG_z4l5oAqOdJRBCsUyMaM/edit?usp=share_link"",""ตรัง!J78"")+IMPORTRANGE(""https://docs.google.com/spreadsheets/d/1T5rRTzFc79aSIvqnzkZNvwPstq829QYz_xALlO1Z0s8/edit?"&amp;"usp=share_link"",""นครศรีธรรมราช!J78"")+IMPORTRANGE(""https://docs.google.com/spreadsheets/d/1BeghqumK0IvCmRd2QOy6_afsZq7ZtAGrSnVJy2u7WmY/edit?usp=share_link"",""นราธิวาส!J78"")+IMPORTRANGE(""https://docs.google.com/spreadsheets/d/1IwnW3-jjRf74MCLW-6PiFwM"&amp;"UffRQXZwZA7YM609NmRc/edit?usp=share_link"",""ปัตตานี!J78"")+IMPORTRANGE(""https://docs.google.com/spreadsheets/d/1vl4QWbWdFruual5o_wdo6ZSqXZ_it806oja4CctTLKs/edit?usp=share_link"",""พังงา!J78"")+IMPORTRANGE(""https://docs.google.com/spreadsheets/d/1b6QssH"&amp;"Qp2FoAPSMKHOy273KNzAomaIKhtdlvuZ_zDNE/edit?usp=share_link"",""พัทลุง!J78"")+IMPORTRANGE(""https://docs.google.com/spreadsheets/d/1o7UZe4_OqlqtLDHrj01Z2YFRSZDf1DMy1n3XViHaxRc/edit?usp=share_link"",""ภูเก็ต!J78"")+IMPORTRANGE(""https://docs.google.com/sprea"&amp;"dsheets/d/1ctPm1vUzcUCPuOj9-eoHUD85PqINFqUB0TjdSWmR5-c/edit?usp=share_link"",""ยะลา!J78"")+IMPORTRANGE(""https://docs.google.com/spreadsheets/d/1YiDIE7Klmt8osgdapRqYWNr7iPGFSsiJqq46S7PYRE0/edit?usp=share_link"",""ระนอง!J78"")+IMPORTRANGE(""https://docs.go"&amp;"ogle.com/spreadsheets/d/16o_4B-V7AWw_6E93bSpXj_XxVv1oVQctk-B6z1dNEWU/edit?usp=share_link"",""สงขลา!J78"")+IMPORTRANGE(""https://docs.google.com/spreadsheets/d/16cywr71Fj4fA5OGRHsZh30ZG2gwJhMAQv69oVBzYHv0/edit?usp=share_link"",""สตูล!J78"")+IMPORTRANGE(""h"&amp;"ttps://docs.google.com/spreadsheets/d/1vO9Sws6kMtrVtyvrAJptINXjK8TFBoX9xLYOVK_C8bQ/edit?usp=share_link"",""สุราษฎร์ธานี!J78"")"),2)</f>
        <v>2</v>
      </c>
      <c r="K78" s="163">
        <f t="shared" ca="1" si="59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IFERROR(__xludf.DUMMYFUNCTION("IMPORTRANGE(""https://docs.google.com/spreadsheets/d/1kC41EOXpGBFOW658Fs3oD8beYlym0-zO54WY-2Qnp9I/edit?usp=share_link"",""กระบี่!I79"")
+IMPORTRANGE(""https://docs.google.com/spreadsheets/d/1FbzMZY_f3MDiEuK7RpCQKrilJ_kpX0Wm7QBZ1L7EjIU/edit?usp=share_link"&amp;""",""ชุมพร!I79"")+IMPORTRANGE(""https://docs.google.com/spreadsheets/d/1v5sN-00LrXuhBxw4dkh2GrG_z4l5oAqOdJRBCsUyMaM/edit?usp=share_link"",""ตรัง!I79"")+IMPORTRANGE(""https://docs.google.com/spreadsheets/d/1T5rRTzFc79aSIvqnzkZNvwPstq829QYz_xALlO1Z0s8/edit?"&amp;"usp=share_link"",""นครศรีธรรมราช!I79"")+IMPORTRANGE(""https://docs.google.com/spreadsheets/d/1BeghqumK0IvCmRd2QOy6_afsZq7ZtAGrSnVJy2u7WmY/edit?usp=share_link"",""นราธิวาส!I79"")+IMPORTRANGE(""https://docs.google.com/spreadsheets/d/1IwnW3-jjRf74MCLW-6PiFwM"&amp;"UffRQXZwZA7YM609NmRc/edit?usp=share_link"",""ปัตตานี!I79"")+IMPORTRANGE(""https://docs.google.com/spreadsheets/d/1vl4QWbWdFruual5o_wdo6ZSqXZ_it806oja4CctTLKs/edit?usp=share_link"",""พังงา!I79"")+IMPORTRANGE(""https://docs.google.com/spreadsheets/d/1b6QssH"&amp;"Qp2FoAPSMKHOy273KNzAomaIKhtdlvuZ_zDNE/edit?usp=share_link"",""พัทลุง!I79"")+IMPORTRANGE(""https://docs.google.com/spreadsheets/d/1o7UZe4_OqlqtLDHrj01Z2YFRSZDf1DMy1n3XViHaxRc/edit?usp=share_link"",""ภูเก็ต!I79"")+IMPORTRANGE(""https://docs.google.com/sprea"&amp;"dsheets/d/1ctPm1vUzcUCPuOj9-eoHUD85PqINFqUB0TjdSWmR5-c/edit?usp=share_link"",""ยะลา!I79"")+IMPORTRANGE(""https://docs.google.com/spreadsheets/d/1YiDIE7Klmt8osgdapRqYWNr7iPGFSsiJqq46S7PYRE0/edit?usp=share_link"",""ระนอง!I79"")+IMPORTRANGE(""https://docs.go"&amp;"ogle.com/spreadsheets/d/16o_4B-V7AWw_6E93bSpXj_XxVv1oVQctk-B6z1dNEWU/edit?usp=share_link"",""สงขลา!I79"")+IMPORTRANGE(""https://docs.google.com/spreadsheets/d/16cywr71Fj4fA5OGRHsZh30ZG2gwJhMAQv69oVBzYHv0/edit?usp=share_link"",""สตูล!I79"")+IMPORTRANGE(""h"&amp;"ttps://docs.google.com/spreadsheets/d/1vO9Sws6kMtrVtyvrAJptINXjK8TFBoX9xLYOVK_C8bQ/edit?usp=share_link"",""สุราษฎร์ธานี!I79"")"),60)</f>
        <v>60</v>
      </c>
      <c r="J79" s="183">
        <f ca="1">IFERROR(__xludf.DUMMYFUNCTION("IMPORTRANGE(""https://docs.google.com/spreadsheets/d/1kC41EOXpGBFOW658Fs3oD8beYlym0-zO54WY-2Qnp9I/edit?usp=share_link"",""กระบี่!J79"")
+IMPORTRANGE(""https://docs.google.com/spreadsheets/d/1FbzMZY_f3MDiEuK7RpCQKrilJ_kpX0Wm7QBZ1L7EjIU/edit?usp=share_link"&amp;""",""ชุมพร!J79"")+IMPORTRANGE(""https://docs.google.com/spreadsheets/d/1v5sN-00LrXuhBxw4dkh2GrG_z4l5oAqOdJRBCsUyMaM/edit?usp=share_link"",""ตรัง!J79"")+IMPORTRANGE(""https://docs.google.com/spreadsheets/d/1T5rRTzFc79aSIvqnzkZNvwPstq829QYz_xALlO1Z0s8/edit?"&amp;"usp=share_link"",""นครศรีธรรมราช!J79"")+IMPORTRANGE(""https://docs.google.com/spreadsheets/d/1BeghqumK0IvCmRd2QOy6_afsZq7ZtAGrSnVJy2u7WmY/edit?usp=share_link"",""นราธิวาส!J79"")+IMPORTRANGE(""https://docs.google.com/spreadsheets/d/1IwnW3-jjRf74MCLW-6PiFwM"&amp;"UffRQXZwZA7YM609NmRc/edit?usp=share_link"",""ปัตตานี!J79"")+IMPORTRANGE(""https://docs.google.com/spreadsheets/d/1vl4QWbWdFruual5o_wdo6ZSqXZ_it806oja4CctTLKs/edit?usp=share_link"",""พังงา!J79"")+IMPORTRANGE(""https://docs.google.com/spreadsheets/d/1b6QssH"&amp;"Qp2FoAPSMKHOy273KNzAomaIKhtdlvuZ_zDNE/edit?usp=share_link"",""พัทลุง!J79"")+IMPORTRANGE(""https://docs.google.com/spreadsheets/d/1o7UZe4_OqlqtLDHrj01Z2YFRSZDf1DMy1n3XViHaxRc/edit?usp=share_link"",""ภูเก็ต!J79"")+IMPORTRANGE(""https://docs.google.com/sprea"&amp;"dsheets/d/1ctPm1vUzcUCPuOj9-eoHUD85PqINFqUB0TjdSWmR5-c/edit?usp=share_link"",""ยะลา!J79"")+IMPORTRANGE(""https://docs.google.com/spreadsheets/d/1YiDIE7Klmt8osgdapRqYWNr7iPGFSsiJqq46S7PYRE0/edit?usp=share_link"",""ระนอง!J79"")+IMPORTRANGE(""https://docs.go"&amp;"ogle.com/spreadsheets/d/16o_4B-V7AWw_6E93bSpXj_XxVv1oVQctk-B6z1dNEWU/edit?usp=share_link"",""สงขลา!J79"")+IMPORTRANGE(""https://docs.google.com/spreadsheets/d/16cywr71Fj4fA5OGRHsZh30ZG2gwJhMAQv69oVBzYHv0/edit?usp=share_link"",""สตูล!J79"")+IMPORTRANGE(""h"&amp;"ttps://docs.google.com/spreadsheets/d/1vO9Sws6kMtrVtyvrAJptINXjK8TFBoX9xLYOVK_C8bQ/edit?usp=share_link"",""สุราษฎร์ธานี!J79"")"),60)</f>
        <v>60</v>
      </c>
      <c r="K79" s="163">
        <f t="shared" ca="1" si="59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IFERROR(__xludf.DUMMYFUNCTION("IMPORTRANGE(""https://docs.google.com/spreadsheets/d/1kC41EOXpGBFOW658Fs3oD8beYlym0-zO54WY-2Qnp9I/edit?usp=share_link"",""กระบี่!I80"")
+IMPORTRANGE(""https://docs.google.com/spreadsheets/d/1FbzMZY_f3MDiEuK7RpCQKrilJ_kpX0Wm7QBZ1L7EjIU/edit?usp=share_link"&amp;""",""ชุมพร!I80"")+IMPORTRANGE(""https://docs.google.com/spreadsheets/d/1v5sN-00LrXuhBxw4dkh2GrG_z4l5oAqOdJRBCsUyMaM/edit?usp=share_link"",""ตรัง!I80"")+IMPORTRANGE(""https://docs.google.com/spreadsheets/d/1T5rRTzFc79aSIvqnzkZNvwPstq829QYz_xALlO1Z0s8/edit?"&amp;"usp=share_link"",""นครศรีธรรมราช!I80"")+IMPORTRANGE(""https://docs.google.com/spreadsheets/d/1BeghqumK0IvCmRd2QOy6_afsZq7ZtAGrSnVJy2u7WmY/edit?usp=share_link"",""นราธิวาส!I80"")+IMPORTRANGE(""https://docs.google.com/spreadsheets/d/1IwnW3-jjRf74MCLW-6PiFwM"&amp;"UffRQXZwZA7YM609NmRc/edit?usp=share_link"",""ปัตตานี!I80"")+IMPORTRANGE(""https://docs.google.com/spreadsheets/d/1vl4QWbWdFruual5o_wdo6ZSqXZ_it806oja4CctTLKs/edit?usp=share_link"",""พังงา!I80"")+IMPORTRANGE(""https://docs.google.com/spreadsheets/d/1b6QssH"&amp;"Qp2FoAPSMKHOy273KNzAomaIKhtdlvuZ_zDNE/edit?usp=share_link"",""พัทลุง!I80"")+IMPORTRANGE(""https://docs.google.com/spreadsheets/d/1o7UZe4_OqlqtLDHrj01Z2YFRSZDf1DMy1n3XViHaxRc/edit?usp=share_link"",""ภูเก็ต!I80"")+IMPORTRANGE(""https://docs.google.com/sprea"&amp;"dsheets/d/1ctPm1vUzcUCPuOj9-eoHUD85PqINFqUB0TjdSWmR5-c/edit?usp=share_link"",""ยะลา!I80"")+IMPORTRANGE(""https://docs.google.com/spreadsheets/d/1YiDIE7Klmt8osgdapRqYWNr7iPGFSsiJqq46S7PYRE0/edit?usp=share_link"",""ระนอง!I80"")+IMPORTRANGE(""https://docs.go"&amp;"ogle.com/spreadsheets/d/16o_4B-V7AWw_6E93bSpXj_XxVv1oVQctk-B6z1dNEWU/edit?usp=share_link"",""สงขลา!I80"")+IMPORTRANGE(""https://docs.google.com/spreadsheets/d/16cywr71Fj4fA5OGRHsZh30ZG2gwJhMAQv69oVBzYHv0/edit?usp=share_link"",""สตูล!I80"")+IMPORTRANGE(""h"&amp;"ttps://docs.google.com/spreadsheets/d/1vO9Sws6kMtrVtyvrAJptINXjK8TFBoX9xLYOVK_C8bQ/edit?usp=share_link"",""สุราษฎร์ธานี!I80"")"),1)</f>
        <v>1</v>
      </c>
      <c r="J80" s="183">
        <f ca="1">IFERROR(__xludf.DUMMYFUNCTION("IMPORTRANGE(""https://docs.google.com/spreadsheets/d/1kC41EOXpGBFOW658Fs3oD8beYlym0-zO54WY-2Qnp9I/edit?usp=share_link"",""กระบี่!J80"")
+IMPORTRANGE(""https://docs.google.com/spreadsheets/d/1FbzMZY_f3MDiEuK7RpCQKrilJ_kpX0Wm7QBZ1L7EjIU/edit?usp=share_link"&amp;""",""ชุมพร!J80"")+IMPORTRANGE(""https://docs.google.com/spreadsheets/d/1v5sN-00LrXuhBxw4dkh2GrG_z4l5oAqOdJRBCsUyMaM/edit?usp=share_link"",""ตรัง!J80"")+IMPORTRANGE(""https://docs.google.com/spreadsheets/d/1T5rRTzFc79aSIvqnzkZNvwPstq829QYz_xALlO1Z0s8/edit?"&amp;"usp=share_link"",""นครศรีธรรมราช!J80"")+IMPORTRANGE(""https://docs.google.com/spreadsheets/d/1BeghqumK0IvCmRd2QOy6_afsZq7ZtAGrSnVJy2u7WmY/edit?usp=share_link"",""นราธิวาส!J80"")+IMPORTRANGE(""https://docs.google.com/spreadsheets/d/1IwnW3-jjRf74MCLW-6PiFwM"&amp;"UffRQXZwZA7YM609NmRc/edit?usp=share_link"",""ปัตตานี!J80"")+IMPORTRANGE(""https://docs.google.com/spreadsheets/d/1vl4QWbWdFruual5o_wdo6ZSqXZ_it806oja4CctTLKs/edit?usp=share_link"",""พังงา!J80"")+IMPORTRANGE(""https://docs.google.com/spreadsheets/d/1b6QssH"&amp;"Qp2FoAPSMKHOy273KNzAomaIKhtdlvuZ_zDNE/edit?usp=share_link"",""พัทลุง!J80"")+IMPORTRANGE(""https://docs.google.com/spreadsheets/d/1o7UZe4_OqlqtLDHrj01Z2YFRSZDf1DMy1n3XViHaxRc/edit?usp=share_link"",""ภูเก็ต!J80"")+IMPORTRANGE(""https://docs.google.com/sprea"&amp;"dsheets/d/1ctPm1vUzcUCPuOj9-eoHUD85PqINFqUB0TjdSWmR5-c/edit?usp=share_link"",""ยะลา!J80"")+IMPORTRANGE(""https://docs.google.com/spreadsheets/d/1YiDIE7Klmt8osgdapRqYWNr7iPGFSsiJqq46S7PYRE0/edit?usp=share_link"",""ระนอง!J80"")+IMPORTRANGE(""https://docs.go"&amp;"ogle.com/spreadsheets/d/16o_4B-V7AWw_6E93bSpXj_XxVv1oVQctk-B6z1dNEWU/edit?usp=share_link"",""สงขลา!J80"")+IMPORTRANGE(""https://docs.google.com/spreadsheets/d/16cywr71Fj4fA5OGRHsZh30ZG2gwJhMAQv69oVBzYHv0/edit?usp=share_link"",""สตูล!J80"")+IMPORTRANGE(""h"&amp;"ttps://docs.google.com/spreadsheets/d/1vO9Sws6kMtrVtyvrAJptINXjK8TFBoX9xLYOVK_C8bQ/edit?usp=share_link"",""สุราษฎร์ธานี!J80"")"),1)</f>
        <v>1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IFERROR(__xludf.DUMMYFUNCTION("IMPORTRANGE(""https://docs.google.com/spreadsheets/d/1kC41EOXpGBFOW658Fs3oD8beYlym0-zO54WY-2Qnp9I/edit?usp=share_link"",""กระบี่!I81"")
+IMPORTRANGE(""https://docs.google.com/spreadsheets/d/1FbzMZY_f3MDiEuK7RpCQKrilJ_kpX0Wm7QBZ1L7EjIU/edit?usp=share_link"&amp;""",""ชุมพร!I81"")+IMPORTRANGE(""https://docs.google.com/spreadsheets/d/1v5sN-00LrXuhBxw4dkh2GrG_z4l5oAqOdJRBCsUyMaM/edit?usp=share_link"",""ตรัง!I81"")+IMPORTRANGE(""https://docs.google.com/spreadsheets/d/1T5rRTzFc79aSIvqnzkZNvwPstq829QYz_xALlO1Z0s8/edit?"&amp;"usp=share_link"",""นครศรีธรรมราช!I81"")+IMPORTRANGE(""https://docs.google.com/spreadsheets/d/1BeghqumK0IvCmRd2QOy6_afsZq7ZtAGrSnVJy2u7WmY/edit?usp=share_link"",""นราธิวาส!I81"")+IMPORTRANGE(""https://docs.google.com/spreadsheets/d/1IwnW3-jjRf74MCLW-6PiFwM"&amp;"UffRQXZwZA7YM609NmRc/edit?usp=share_link"",""ปัตตานี!I81"")+IMPORTRANGE(""https://docs.google.com/spreadsheets/d/1vl4QWbWdFruual5o_wdo6ZSqXZ_it806oja4CctTLKs/edit?usp=share_link"",""พังงา!I81"")+IMPORTRANGE(""https://docs.google.com/spreadsheets/d/1b6QssH"&amp;"Qp2FoAPSMKHOy273KNzAomaIKhtdlvuZ_zDNE/edit?usp=share_link"",""พัทลุง!I81"")+IMPORTRANGE(""https://docs.google.com/spreadsheets/d/1o7UZe4_OqlqtLDHrj01Z2YFRSZDf1DMy1n3XViHaxRc/edit?usp=share_link"",""ภูเก็ต!I81"")+IMPORTRANGE(""https://docs.google.com/sprea"&amp;"dsheets/d/1ctPm1vUzcUCPuOj9-eoHUD85PqINFqUB0TjdSWmR5-c/edit?usp=share_link"",""ยะลา!I81"")+IMPORTRANGE(""https://docs.google.com/spreadsheets/d/1YiDIE7Klmt8osgdapRqYWNr7iPGFSsiJqq46S7PYRE0/edit?usp=share_link"",""ระนอง!I81"")+IMPORTRANGE(""https://docs.go"&amp;"ogle.com/spreadsheets/d/16o_4B-V7AWw_6E93bSpXj_XxVv1oVQctk-B6z1dNEWU/edit?usp=share_link"",""สงขลา!I81"")+IMPORTRANGE(""https://docs.google.com/spreadsheets/d/16cywr71Fj4fA5OGRHsZh30ZG2gwJhMAQv69oVBzYHv0/edit?usp=share_link"",""สตูล!I81"")+IMPORTRANGE(""h"&amp;"ttps://docs.google.com/spreadsheets/d/1vO9Sws6kMtrVtyvrAJptINXjK8TFBoX9xLYOVK_C8bQ/edit?usp=share_link"",""สุราษฎร์ธานี!I81"")"),30)</f>
        <v>30</v>
      </c>
      <c r="J81" s="183">
        <f ca="1">IFERROR(__xludf.DUMMYFUNCTION("IMPORTRANGE(""https://docs.google.com/spreadsheets/d/1kC41EOXpGBFOW658Fs3oD8beYlym0-zO54WY-2Qnp9I/edit?usp=share_link"",""กระบี่!J81"")
+IMPORTRANGE(""https://docs.google.com/spreadsheets/d/1FbzMZY_f3MDiEuK7RpCQKrilJ_kpX0Wm7QBZ1L7EjIU/edit?usp=share_link"&amp;""",""ชุมพร!J81"")+IMPORTRANGE(""https://docs.google.com/spreadsheets/d/1v5sN-00LrXuhBxw4dkh2GrG_z4l5oAqOdJRBCsUyMaM/edit?usp=share_link"",""ตรัง!J81"")+IMPORTRANGE(""https://docs.google.com/spreadsheets/d/1T5rRTzFc79aSIvqnzkZNvwPstq829QYz_xALlO1Z0s8/edit?"&amp;"usp=share_link"",""นครศรีธรรมราช!J81"")+IMPORTRANGE(""https://docs.google.com/spreadsheets/d/1BeghqumK0IvCmRd2QOy6_afsZq7ZtAGrSnVJy2u7WmY/edit?usp=share_link"",""นราธิวาส!J81"")+IMPORTRANGE(""https://docs.google.com/spreadsheets/d/1IwnW3-jjRf74MCLW-6PiFwM"&amp;"UffRQXZwZA7YM609NmRc/edit?usp=share_link"",""ปัตตานี!J81"")+IMPORTRANGE(""https://docs.google.com/spreadsheets/d/1vl4QWbWdFruual5o_wdo6ZSqXZ_it806oja4CctTLKs/edit?usp=share_link"",""พังงา!J81"")+IMPORTRANGE(""https://docs.google.com/spreadsheets/d/1b6QssH"&amp;"Qp2FoAPSMKHOy273KNzAomaIKhtdlvuZ_zDNE/edit?usp=share_link"",""พัทลุง!J81"")+IMPORTRANGE(""https://docs.google.com/spreadsheets/d/1o7UZe4_OqlqtLDHrj01Z2YFRSZDf1DMy1n3XViHaxRc/edit?usp=share_link"",""ภูเก็ต!J81"")+IMPORTRANGE(""https://docs.google.com/sprea"&amp;"dsheets/d/1ctPm1vUzcUCPuOj9-eoHUD85PqINFqUB0TjdSWmR5-c/edit?usp=share_link"",""ยะลา!J81"")+IMPORTRANGE(""https://docs.google.com/spreadsheets/d/1YiDIE7Klmt8osgdapRqYWNr7iPGFSsiJqq46S7PYRE0/edit?usp=share_link"",""ระนอง!J81"")+IMPORTRANGE(""https://docs.go"&amp;"ogle.com/spreadsheets/d/16o_4B-V7AWw_6E93bSpXj_XxVv1oVQctk-B6z1dNEWU/edit?usp=share_link"",""สงขลา!J81"")+IMPORTRANGE(""https://docs.google.com/spreadsheets/d/16cywr71Fj4fA5OGRHsZh30ZG2gwJhMAQv69oVBzYHv0/edit?usp=share_link"",""สตูล!J81"")+IMPORTRANGE(""h"&amp;"ttps://docs.google.com/spreadsheets/d/1vO9Sws6kMtrVtyvrAJptINXjK8TFBoX9xLYOVK_C8bQ/edit?usp=share_link"",""สุราษฎร์ธานี!J81"")"),30)</f>
        <v>30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IFERROR(__xludf.DUMMYFUNCTION("IMPORTRANGE(""https://docs.google.com/spreadsheets/d/1kC41EOXpGBFOW658Fs3oD8beYlym0-zO54WY-2Qnp9I/edit?usp=share_link"",""กระบี่!I82"")
+IMPORTRANGE(""https://docs.google.com/spreadsheets/d/1FbzMZY_f3MDiEuK7RpCQKrilJ_kpX0Wm7QBZ1L7EjIU/edit?usp=share_link"&amp;""",""ชุมพร!I82"")+IMPORTRANGE(""https://docs.google.com/spreadsheets/d/1v5sN-00LrXuhBxw4dkh2GrG_z4l5oAqOdJRBCsUyMaM/edit?usp=share_link"",""ตรัง!I82"")+IMPORTRANGE(""https://docs.google.com/spreadsheets/d/1T5rRTzFc79aSIvqnzkZNvwPstq829QYz_xALlO1Z0s8/edit?"&amp;"usp=share_link"",""นครศรีธรรมราช!I82"")+IMPORTRANGE(""https://docs.google.com/spreadsheets/d/1BeghqumK0IvCmRd2QOy6_afsZq7ZtAGrSnVJy2u7WmY/edit?usp=share_link"",""นราธิวาส!I82"")+IMPORTRANGE(""https://docs.google.com/spreadsheets/d/1IwnW3-jjRf74MCLW-6PiFwM"&amp;"UffRQXZwZA7YM609NmRc/edit?usp=share_link"",""ปัตตานี!I82"")+IMPORTRANGE(""https://docs.google.com/spreadsheets/d/1vl4QWbWdFruual5o_wdo6ZSqXZ_it806oja4CctTLKs/edit?usp=share_link"",""พังงา!I82"")+IMPORTRANGE(""https://docs.google.com/spreadsheets/d/1b6QssH"&amp;"Qp2FoAPSMKHOy273KNzAomaIKhtdlvuZ_zDNE/edit?usp=share_link"",""พัทลุง!I82"")+IMPORTRANGE(""https://docs.google.com/spreadsheets/d/1o7UZe4_OqlqtLDHrj01Z2YFRSZDf1DMy1n3XViHaxRc/edit?usp=share_link"",""ภูเก็ต!I82"")+IMPORTRANGE(""https://docs.google.com/sprea"&amp;"dsheets/d/1ctPm1vUzcUCPuOj9-eoHUD85PqINFqUB0TjdSWmR5-c/edit?usp=share_link"",""ยะลา!I82"")+IMPORTRANGE(""https://docs.google.com/spreadsheets/d/1YiDIE7Klmt8osgdapRqYWNr7iPGFSsiJqq46S7PYRE0/edit?usp=share_link"",""ระนอง!I82"")+IMPORTRANGE(""https://docs.go"&amp;"ogle.com/spreadsheets/d/16o_4B-V7AWw_6E93bSpXj_XxVv1oVQctk-B6z1dNEWU/edit?usp=share_link"",""สงขลา!I82"")+IMPORTRANGE(""https://docs.google.com/spreadsheets/d/16cywr71Fj4fA5OGRHsZh30ZG2gwJhMAQv69oVBzYHv0/edit?usp=share_link"",""สตูล!I82"")+IMPORTRANGE(""h"&amp;"ttps://docs.google.com/spreadsheets/d/1vO9Sws6kMtrVtyvrAJptINXjK8TFBoX9xLYOVK_C8bQ/edit?usp=share_link"",""สุราษฎร์ธานี!I82"")"),1)</f>
        <v>1</v>
      </c>
      <c r="J82" s="183">
        <f ca="1">IFERROR(__xludf.DUMMYFUNCTION("IMPORTRANGE(""https://docs.google.com/spreadsheets/d/1kC41EOXpGBFOW658Fs3oD8beYlym0-zO54WY-2Qnp9I/edit?usp=share_link"",""กระบี่!J82"")
+IMPORTRANGE(""https://docs.google.com/spreadsheets/d/1FbzMZY_f3MDiEuK7RpCQKrilJ_kpX0Wm7QBZ1L7EjIU/edit?usp=share_link"&amp;""",""ชุมพร!J82"")+IMPORTRANGE(""https://docs.google.com/spreadsheets/d/1v5sN-00LrXuhBxw4dkh2GrG_z4l5oAqOdJRBCsUyMaM/edit?usp=share_link"",""ตรัง!J82"")+IMPORTRANGE(""https://docs.google.com/spreadsheets/d/1T5rRTzFc79aSIvqnzkZNvwPstq829QYz_xALlO1Z0s8/edit?"&amp;"usp=share_link"",""นครศรีธรรมราช!J82"")+IMPORTRANGE(""https://docs.google.com/spreadsheets/d/1BeghqumK0IvCmRd2QOy6_afsZq7ZtAGrSnVJy2u7WmY/edit?usp=share_link"",""นราธิวาส!J82"")+IMPORTRANGE(""https://docs.google.com/spreadsheets/d/1IwnW3-jjRf74MCLW-6PiFwM"&amp;"UffRQXZwZA7YM609NmRc/edit?usp=share_link"",""ปัตตานี!J82"")+IMPORTRANGE(""https://docs.google.com/spreadsheets/d/1vl4QWbWdFruual5o_wdo6ZSqXZ_it806oja4CctTLKs/edit?usp=share_link"",""พังงา!J82"")+IMPORTRANGE(""https://docs.google.com/spreadsheets/d/1b6QssH"&amp;"Qp2FoAPSMKHOy273KNzAomaIKhtdlvuZ_zDNE/edit?usp=share_link"",""พัทลุง!J82"")+IMPORTRANGE(""https://docs.google.com/spreadsheets/d/1o7UZe4_OqlqtLDHrj01Z2YFRSZDf1DMy1n3XViHaxRc/edit?usp=share_link"",""ภูเก็ต!J82"")+IMPORTRANGE(""https://docs.google.com/sprea"&amp;"dsheets/d/1ctPm1vUzcUCPuOj9-eoHUD85PqINFqUB0TjdSWmR5-c/edit?usp=share_link"",""ยะลา!J82"")+IMPORTRANGE(""https://docs.google.com/spreadsheets/d/1YiDIE7Klmt8osgdapRqYWNr7iPGFSsiJqq46S7PYRE0/edit?usp=share_link"",""ระนอง!J82"")+IMPORTRANGE(""https://docs.go"&amp;"ogle.com/spreadsheets/d/16o_4B-V7AWw_6E93bSpXj_XxVv1oVQctk-B6z1dNEWU/edit?usp=share_link"",""สงขลา!J82"")+IMPORTRANGE(""https://docs.google.com/spreadsheets/d/16cywr71Fj4fA5OGRHsZh30ZG2gwJhMAQv69oVBzYHv0/edit?usp=share_link"",""สตูล!J82"")+IMPORTRANGE(""h"&amp;"ttps://docs.google.com/spreadsheets/d/1vO9Sws6kMtrVtyvrAJptINXjK8TFBoX9xLYOVK_C8bQ/edit?usp=share_link"",""สุราษฎร์ธานี!J82"")"),1)</f>
        <v>1</v>
      </c>
      <c r="K82" s="163">
        <f t="shared" ca="1" si="59"/>
        <v>100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IFERROR(__xludf.DUMMYFUNCTION("IMPORTRANGE(""https://docs.google.com/spreadsheets/d/1kC41EOXpGBFOW658Fs3oD8beYlym0-zO54WY-2Qnp9I/edit?usp=share_link"",""กระบี่!I83"")
+IMPORTRANGE(""https://docs.google.com/spreadsheets/d/1FbzMZY_f3MDiEuK7RpCQKrilJ_kpX0Wm7QBZ1L7EjIU/edit?usp=share_link"&amp;""",""ชุมพร!I83"")+IMPORTRANGE(""https://docs.google.com/spreadsheets/d/1v5sN-00LrXuhBxw4dkh2GrG_z4l5oAqOdJRBCsUyMaM/edit?usp=share_link"",""ตรัง!I83"")+IMPORTRANGE(""https://docs.google.com/spreadsheets/d/1T5rRTzFc79aSIvqnzkZNvwPstq829QYz_xALlO1Z0s8/edit?"&amp;"usp=share_link"",""นครศรีธรรมราช!I83"")+IMPORTRANGE(""https://docs.google.com/spreadsheets/d/1BeghqumK0IvCmRd2QOy6_afsZq7ZtAGrSnVJy2u7WmY/edit?usp=share_link"",""นราธิวาส!I83"")+IMPORTRANGE(""https://docs.google.com/spreadsheets/d/1IwnW3-jjRf74MCLW-6PiFwM"&amp;"UffRQXZwZA7YM609NmRc/edit?usp=share_link"",""ปัตตานี!I83"")+IMPORTRANGE(""https://docs.google.com/spreadsheets/d/1vl4QWbWdFruual5o_wdo6ZSqXZ_it806oja4CctTLKs/edit?usp=share_link"",""พังงา!I83"")+IMPORTRANGE(""https://docs.google.com/spreadsheets/d/1b6QssH"&amp;"Qp2FoAPSMKHOy273KNzAomaIKhtdlvuZ_zDNE/edit?usp=share_link"",""พัทลุง!I83"")+IMPORTRANGE(""https://docs.google.com/spreadsheets/d/1o7UZe4_OqlqtLDHrj01Z2YFRSZDf1DMy1n3XViHaxRc/edit?usp=share_link"",""ภูเก็ต!I83"")+IMPORTRANGE(""https://docs.google.com/sprea"&amp;"dsheets/d/1ctPm1vUzcUCPuOj9-eoHUD85PqINFqUB0TjdSWmR5-c/edit?usp=share_link"",""ยะลา!I83"")+IMPORTRANGE(""https://docs.google.com/spreadsheets/d/1YiDIE7Klmt8osgdapRqYWNr7iPGFSsiJqq46S7PYRE0/edit?usp=share_link"",""ระนอง!I83"")+IMPORTRANGE(""https://docs.go"&amp;"ogle.com/spreadsheets/d/16o_4B-V7AWw_6E93bSpXj_XxVv1oVQctk-B6z1dNEWU/edit?usp=share_link"",""สงขลา!I83"")+IMPORTRANGE(""https://docs.google.com/spreadsheets/d/16cywr71Fj4fA5OGRHsZh30ZG2gwJhMAQv69oVBzYHv0/edit?usp=share_link"",""สตูล!I83"")+IMPORTRANGE(""h"&amp;"ttps://docs.google.com/spreadsheets/d/1vO9Sws6kMtrVtyvrAJptINXjK8TFBoX9xLYOVK_C8bQ/edit?usp=share_link"",""สุราษฎร์ธานี!I83"")"),30)</f>
        <v>30</v>
      </c>
      <c r="J83" s="183">
        <f ca="1">IFERROR(__xludf.DUMMYFUNCTION("IMPORTRANGE(""https://docs.google.com/spreadsheets/d/1kC41EOXpGBFOW658Fs3oD8beYlym0-zO54WY-2Qnp9I/edit?usp=share_link"",""กระบี่!J83"")
+IMPORTRANGE(""https://docs.google.com/spreadsheets/d/1FbzMZY_f3MDiEuK7RpCQKrilJ_kpX0Wm7QBZ1L7EjIU/edit?usp=share_link"&amp;""",""ชุมพร!J83"")+IMPORTRANGE(""https://docs.google.com/spreadsheets/d/1v5sN-00LrXuhBxw4dkh2GrG_z4l5oAqOdJRBCsUyMaM/edit?usp=share_link"",""ตรัง!J83"")+IMPORTRANGE(""https://docs.google.com/spreadsheets/d/1T5rRTzFc79aSIvqnzkZNvwPstq829QYz_xALlO1Z0s8/edit?"&amp;"usp=share_link"",""นครศรีธรรมราช!J83"")+IMPORTRANGE(""https://docs.google.com/spreadsheets/d/1BeghqumK0IvCmRd2QOy6_afsZq7ZtAGrSnVJy2u7WmY/edit?usp=share_link"",""นราธิวาส!J83"")+IMPORTRANGE(""https://docs.google.com/spreadsheets/d/1IwnW3-jjRf74MCLW-6PiFwM"&amp;"UffRQXZwZA7YM609NmRc/edit?usp=share_link"",""ปัตตานี!J83"")+IMPORTRANGE(""https://docs.google.com/spreadsheets/d/1vl4QWbWdFruual5o_wdo6ZSqXZ_it806oja4CctTLKs/edit?usp=share_link"",""พังงา!J83"")+IMPORTRANGE(""https://docs.google.com/spreadsheets/d/1b6QssH"&amp;"Qp2FoAPSMKHOy273KNzAomaIKhtdlvuZ_zDNE/edit?usp=share_link"",""พัทลุง!J83"")+IMPORTRANGE(""https://docs.google.com/spreadsheets/d/1o7UZe4_OqlqtLDHrj01Z2YFRSZDf1DMy1n3XViHaxRc/edit?usp=share_link"",""ภูเก็ต!J83"")+IMPORTRANGE(""https://docs.google.com/sprea"&amp;"dsheets/d/1ctPm1vUzcUCPuOj9-eoHUD85PqINFqUB0TjdSWmR5-c/edit?usp=share_link"",""ยะลา!J83"")+IMPORTRANGE(""https://docs.google.com/spreadsheets/d/1YiDIE7Klmt8osgdapRqYWNr7iPGFSsiJqq46S7PYRE0/edit?usp=share_link"",""ระนอง!J83"")+IMPORTRANGE(""https://docs.go"&amp;"ogle.com/spreadsheets/d/16o_4B-V7AWw_6E93bSpXj_XxVv1oVQctk-B6z1dNEWU/edit?usp=share_link"",""สงขลา!J83"")+IMPORTRANGE(""https://docs.google.com/spreadsheets/d/16cywr71Fj4fA5OGRHsZh30ZG2gwJhMAQv69oVBzYHv0/edit?usp=share_link"",""สตูล!J83"")+IMPORTRANGE(""h"&amp;"ttps://docs.google.com/spreadsheets/d/1vO9Sws6kMtrVtyvrAJptINXjK8TFBoX9xLYOVK_C8bQ/edit?usp=share_link"",""สุราษฎร์ธานี!J83"")"),30)</f>
        <v>30</v>
      </c>
      <c r="K83" s="163">
        <f t="shared" ca="1" si="59"/>
        <v>100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IFERROR(__xludf.DUMMYFUNCTION("IMPORTRANGE(""https://docs.google.com/spreadsheets/d/1kC41EOXpGBFOW658Fs3oD8beYlym0-zO54WY-2Qnp9I/edit?usp=share_link"",""กระบี่!I84"")
+IMPORTRANGE(""https://docs.google.com/spreadsheets/d/1FbzMZY_f3MDiEuK7RpCQKrilJ_kpX0Wm7QBZ1L7EjIU/edit?usp=share_link"&amp;""",""ชุมพร!I84"")+IMPORTRANGE(""https://docs.google.com/spreadsheets/d/1v5sN-00LrXuhBxw4dkh2GrG_z4l5oAqOdJRBCsUyMaM/edit?usp=share_link"",""ตรัง!I84"")+IMPORTRANGE(""https://docs.google.com/spreadsheets/d/1T5rRTzFc79aSIvqnzkZNvwPstq829QYz_xALlO1Z0s8/edit?"&amp;"usp=share_link"",""นครศรีธรรมราช!I84"")+IMPORTRANGE(""https://docs.google.com/spreadsheets/d/1BeghqumK0IvCmRd2QOy6_afsZq7ZtAGrSnVJy2u7WmY/edit?usp=share_link"",""นราธิวาส!I84"")+IMPORTRANGE(""https://docs.google.com/spreadsheets/d/1IwnW3-jjRf74MCLW-6PiFwM"&amp;"UffRQXZwZA7YM609NmRc/edit?usp=share_link"",""ปัตตานี!I84"")+IMPORTRANGE(""https://docs.google.com/spreadsheets/d/1vl4QWbWdFruual5o_wdo6ZSqXZ_it806oja4CctTLKs/edit?usp=share_link"",""พังงา!I84"")+IMPORTRANGE(""https://docs.google.com/spreadsheets/d/1b6QssH"&amp;"Qp2FoAPSMKHOy273KNzAomaIKhtdlvuZ_zDNE/edit?usp=share_link"",""พัทลุง!I84"")+IMPORTRANGE(""https://docs.google.com/spreadsheets/d/1o7UZe4_OqlqtLDHrj01Z2YFRSZDf1DMy1n3XViHaxRc/edit?usp=share_link"",""ภูเก็ต!I84"")+IMPORTRANGE(""https://docs.google.com/sprea"&amp;"dsheets/d/1ctPm1vUzcUCPuOj9-eoHUD85PqINFqUB0TjdSWmR5-c/edit?usp=share_link"",""ยะลา!I84"")+IMPORTRANGE(""https://docs.google.com/spreadsheets/d/1YiDIE7Klmt8osgdapRqYWNr7iPGFSsiJqq46S7PYRE0/edit?usp=share_link"",""ระนอง!I84"")+IMPORTRANGE(""https://docs.go"&amp;"ogle.com/spreadsheets/d/16o_4B-V7AWw_6E93bSpXj_XxVv1oVQctk-B6z1dNEWU/edit?usp=share_link"",""สงขลา!I84"")+IMPORTRANGE(""https://docs.google.com/spreadsheets/d/16cywr71Fj4fA5OGRHsZh30ZG2gwJhMAQv69oVBzYHv0/edit?usp=share_link"",""สตูล!I84"")+IMPORTRANGE(""h"&amp;"ttps://docs.google.com/spreadsheets/d/1vO9Sws6kMtrVtyvrAJptINXjK8TFBoX9xLYOVK_C8bQ/edit?usp=share_link"",""สุราษฎร์ธานี!I84"")"),4)</f>
        <v>4</v>
      </c>
      <c r="J84" s="183">
        <f ca="1">IFERROR(__xludf.DUMMYFUNCTION("IMPORTRANGE(""https://docs.google.com/spreadsheets/d/1kC41EOXpGBFOW658Fs3oD8beYlym0-zO54WY-2Qnp9I/edit?usp=share_link"",""กระบี่!J84"")
+IMPORTRANGE(""https://docs.google.com/spreadsheets/d/1FbzMZY_f3MDiEuK7RpCQKrilJ_kpX0Wm7QBZ1L7EjIU/edit?usp=share_link"&amp;""",""ชุมพร!J84"")+IMPORTRANGE(""https://docs.google.com/spreadsheets/d/1v5sN-00LrXuhBxw4dkh2GrG_z4l5oAqOdJRBCsUyMaM/edit?usp=share_link"",""ตรัง!J84"")+IMPORTRANGE(""https://docs.google.com/spreadsheets/d/1T5rRTzFc79aSIvqnzkZNvwPstq829QYz_xALlO1Z0s8/edit?"&amp;"usp=share_link"",""นครศรีธรรมราช!J84"")+IMPORTRANGE(""https://docs.google.com/spreadsheets/d/1BeghqumK0IvCmRd2QOy6_afsZq7ZtAGrSnVJy2u7WmY/edit?usp=share_link"",""นราธิวาส!J84"")+IMPORTRANGE(""https://docs.google.com/spreadsheets/d/1IwnW3-jjRf74MCLW-6PiFwM"&amp;"UffRQXZwZA7YM609NmRc/edit?usp=share_link"",""ปัตตานี!J84"")+IMPORTRANGE(""https://docs.google.com/spreadsheets/d/1vl4QWbWdFruual5o_wdo6ZSqXZ_it806oja4CctTLKs/edit?usp=share_link"",""พังงา!J84"")+IMPORTRANGE(""https://docs.google.com/spreadsheets/d/1b6QssH"&amp;"Qp2FoAPSMKHOy273KNzAomaIKhtdlvuZ_zDNE/edit?usp=share_link"",""พัทลุง!J84"")+IMPORTRANGE(""https://docs.google.com/spreadsheets/d/1o7UZe4_OqlqtLDHrj01Z2YFRSZDf1DMy1n3XViHaxRc/edit?usp=share_link"",""ภูเก็ต!J84"")+IMPORTRANGE(""https://docs.google.com/sprea"&amp;"dsheets/d/1ctPm1vUzcUCPuOj9-eoHUD85PqINFqUB0TjdSWmR5-c/edit?usp=share_link"",""ยะลา!J84"")+IMPORTRANGE(""https://docs.google.com/spreadsheets/d/1YiDIE7Klmt8osgdapRqYWNr7iPGFSsiJqq46S7PYRE0/edit?usp=share_link"",""ระนอง!J84"")+IMPORTRANGE(""https://docs.go"&amp;"ogle.com/spreadsheets/d/16o_4B-V7AWw_6E93bSpXj_XxVv1oVQctk-B6z1dNEWU/edit?usp=share_link"",""สงขลา!J84"")+IMPORTRANGE(""https://docs.google.com/spreadsheets/d/16cywr71Fj4fA5OGRHsZh30ZG2gwJhMAQv69oVBzYHv0/edit?usp=share_link"",""สตูล!J84"")+IMPORTRANGE(""h"&amp;"ttps://docs.google.com/spreadsheets/d/1vO9Sws6kMtrVtyvrAJptINXjK8TFBoX9xLYOVK_C8bQ/edit?usp=share_link"",""สุราษฎร์ธานี!J84"")"),0)</f>
        <v>0</v>
      </c>
      <c r="K84" s="163">
        <f t="shared" ca="1" si="59"/>
        <v>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285</v>
      </c>
      <c r="J86" s="144">
        <f t="shared" ca="1" si="61"/>
        <v>285</v>
      </c>
      <c r="K86" s="145">
        <f t="shared" ref="K86:K87" ca="1" si="62">IF(I86&gt;0,J86*100/I86,0)</f>
        <v>100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95</v>
      </c>
      <c r="J87" s="144">
        <f t="shared" ca="1" si="63"/>
        <v>95</v>
      </c>
      <c r="K87" s="145">
        <f t="shared" ca="1" si="62"/>
        <v>100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2722980</v>
      </c>
      <c r="M88" s="155">
        <f t="shared" ca="1" si="64"/>
        <v>2722980</v>
      </c>
      <c r="N88" s="155">
        <f t="shared" ca="1" si="64"/>
        <v>2036376.4</v>
      </c>
      <c r="O88" s="155">
        <f t="shared" ref="O88:O96" ca="1" si="65">IF(L88&gt;0,N88*100/L88,0)</f>
        <v>74.784846014293166</v>
      </c>
      <c r="P88" s="155">
        <f t="shared" ref="P88:P96" ca="1" si="66">IF(M88&gt;0,N88*100/M88,0)</f>
        <v>74.784846014293166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2722980</v>
      </c>
      <c r="M90" s="45">
        <f t="shared" ca="1" si="68"/>
        <v>2722980</v>
      </c>
      <c r="N90" s="45">
        <f t="shared" ca="1" si="68"/>
        <v>2036376.4</v>
      </c>
      <c r="O90" s="45">
        <f t="shared" ca="1" si="65"/>
        <v>74.784846014293166</v>
      </c>
      <c r="P90" s="45">
        <f t="shared" ca="1" si="66"/>
        <v>74.784846014293166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2722980</v>
      </c>
      <c r="M91" s="38">
        <f t="shared" ca="1" si="69"/>
        <v>2722980</v>
      </c>
      <c r="N91" s="38">
        <f t="shared" ca="1" si="69"/>
        <v>2036376.4</v>
      </c>
      <c r="O91" s="38">
        <f t="shared" ca="1" si="65"/>
        <v>74.784846014293166</v>
      </c>
      <c r="P91" s="38">
        <f t="shared" ca="1" si="66"/>
        <v>74.784846014293166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IFERROR(__xludf.DUMMYFUNCTION("IMPORTRANGE(""https://docs.google.com/spreadsheets/d/1kC41EOXpGBFOW658Fs3oD8beYlym0-zO54WY-2Qnp9I/edit?usp=share_link"",""กระบี่!L93"")
+IMPORTRANGE(""https://docs.google.com/spreadsheets/d/1FbzMZY_f3MDiEuK7RpCQKrilJ_kpX0Wm7QBZ1L7EjIU/edit?usp=share_link"&amp;""",""ชุมพร!L93"")+IMPORTRANGE(""https://docs.google.com/spreadsheets/d/1v5sN-00LrXuhBxw4dkh2GrG_z4l5oAqOdJRBCsUyMaM/edit?usp=share_link"",""ตรัง!L93"")+IMPORTRANGE(""https://docs.google.com/spreadsheets/d/1T5rRTzFc79aSIvqnzkZNvwPstq829QYz_xALlO1Z0s8/edit?"&amp;"usp=share_link"",""นครศรีธรรมราช!L93"")+IMPORTRANGE(""https://docs.google.com/spreadsheets/d/1BeghqumK0IvCmRd2QOy6_afsZq7ZtAGrSnVJy2u7WmY/edit?usp=share_link"",""นราธิวาส!L93"")+IMPORTRANGE(""https://docs.google.com/spreadsheets/d/1IwnW3-jjRf74MCLW-6PiFwM"&amp;"UffRQXZwZA7YM609NmRc/edit?usp=share_link"",""ปัตตานี!L93"")+IMPORTRANGE(""https://docs.google.com/spreadsheets/d/1vl4QWbWdFruual5o_wdo6ZSqXZ_it806oja4CctTLKs/edit?usp=share_link"",""พังงา!L93"")+IMPORTRANGE(""https://docs.google.com/spreadsheets/d/1b6QssH"&amp;"Qp2FoAPSMKHOy273KNzAomaIKhtdlvuZ_zDNE/edit?usp=share_link"",""พัทลุง!L93"")+IMPORTRANGE(""https://docs.google.com/spreadsheets/d/1o7UZe4_OqlqtLDHrj01Z2YFRSZDf1DMy1n3XViHaxRc/edit?usp=share_link"",""ภูเก็ต!L93"")+IMPORTRANGE(""https://docs.google.com/sprea"&amp;"dsheets/d/1ctPm1vUzcUCPuOj9-eoHUD85PqINFqUB0TjdSWmR5-c/edit?usp=share_link"",""ยะลา!L93"")+IMPORTRANGE(""https://docs.google.com/spreadsheets/d/1YiDIE7Klmt8osgdapRqYWNr7iPGFSsiJqq46S7PYRE0/edit?usp=share_link"",""ระนอง!L93"")+IMPORTRANGE(""https://docs.go"&amp;"ogle.com/spreadsheets/d/16o_4B-V7AWw_6E93bSpXj_XxVv1oVQctk-B6z1dNEWU/edit?usp=share_link"",""สงขลา!L93"")+IMPORTRANGE(""https://docs.google.com/spreadsheets/d/16cywr71Fj4fA5OGRHsZh30ZG2gwJhMAQv69oVBzYHv0/edit?usp=share_link"",""สตูล!L93"")+IMPORTRANGE(""h"&amp;"ttps://docs.google.com/spreadsheets/d/1vO9Sws6kMtrVtyvrAJptINXjK8TFBoX9xLYOVK_C8bQ/edit?usp=share_link"",""สุราษฎร์ธานี!L93"")"),2722980)</f>
        <v>2722980</v>
      </c>
      <c r="M93" s="45">
        <f ca="1">IFERROR(__xludf.DUMMYFUNCTION("IMPORTRANGE(""https://docs.google.com/spreadsheets/d/1kC41EOXpGBFOW658Fs3oD8beYlym0-zO54WY-2Qnp9I/edit?usp=share_link"",""กระบี่!M93"")
+IMPORTRANGE(""https://docs.google.com/spreadsheets/d/1FbzMZY_f3MDiEuK7RpCQKrilJ_kpX0Wm7QBZ1L7EjIU/edit?usp=share_link"&amp;""",""ชุมพร!M93"")+IMPORTRANGE(""https://docs.google.com/spreadsheets/d/1v5sN-00LrXuhBxw4dkh2GrG_z4l5oAqOdJRBCsUyMaM/edit?usp=share_link"",""ตรัง!M93"")+IMPORTRANGE(""https://docs.google.com/spreadsheets/d/1T5rRTzFc79aSIvqnzkZNvwPstq829QYz_xALlO1Z0s8/edit?"&amp;"usp=share_link"",""นครศรีธรรมราช!M93"")+IMPORTRANGE(""https://docs.google.com/spreadsheets/d/1BeghqumK0IvCmRd2QOy6_afsZq7ZtAGrSnVJy2u7WmY/edit?usp=share_link"",""นราธิวาส!M93"")+IMPORTRANGE(""https://docs.google.com/spreadsheets/d/1IwnW3-jjRf74MCLW-6PiFwM"&amp;"UffRQXZwZA7YM609NmRc/edit?usp=share_link"",""ปัตตานี!M93"")+IMPORTRANGE(""https://docs.google.com/spreadsheets/d/1vl4QWbWdFruual5o_wdo6ZSqXZ_it806oja4CctTLKs/edit?usp=share_link"",""พังงา!M93"")+IMPORTRANGE(""https://docs.google.com/spreadsheets/d/1b6QssH"&amp;"Qp2FoAPSMKHOy273KNzAomaIKhtdlvuZ_zDNE/edit?usp=share_link"",""พัทลุง!M93"")+IMPORTRANGE(""https://docs.google.com/spreadsheets/d/1o7UZe4_OqlqtLDHrj01Z2YFRSZDf1DMy1n3XViHaxRc/edit?usp=share_link"",""ภูเก็ต!M93"")+IMPORTRANGE(""https://docs.google.com/sprea"&amp;"dsheets/d/1ctPm1vUzcUCPuOj9-eoHUD85PqINFqUB0TjdSWmR5-c/edit?usp=share_link"",""ยะลา!M93"")+IMPORTRANGE(""https://docs.google.com/spreadsheets/d/1YiDIE7Klmt8osgdapRqYWNr7iPGFSsiJqq46S7PYRE0/edit?usp=share_link"",""ระนอง!M93"")+IMPORTRANGE(""https://docs.go"&amp;"ogle.com/spreadsheets/d/16o_4B-V7AWw_6E93bSpXj_XxVv1oVQctk-B6z1dNEWU/edit?usp=share_link"",""สงขลา!M93"")+IMPORTRANGE(""https://docs.google.com/spreadsheets/d/16cywr71Fj4fA5OGRHsZh30ZG2gwJhMAQv69oVBzYHv0/edit?usp=share_link"",""สตูล!M93"")+IMPORTRANGE(""h"&amp;"ttps://docs.google.com/spreadsheets/d/1vO9Sws6kMtrVtyvrAJptINXjK8TFBoX9xLYOVK_C8bQ/edit?usp=share_link"",""สุราษฎร์ธานี!M93"")"),2722980)</f>
        <v>2722980</v>
      </c>
      <c r="N93" s="45">
        <f ca="1">IFERROR(__xludf.DUMMYFUNCTION("IMPORTRANGE(""https://docs.google.com/spreadsheets/d/1kC41EOXpGBFOW658Fs3oD8beYlym0-zO54WY-2Qnp9I/edit?usp=share_link"",""กระบี่!N93"")
+IMPORTRANGE(""https://docs.google.com/spreadsheets/d/1FbzMZY_f3MDiEuK7RpCQKrilJ_kpX0Wm7QBZ1L7EjIU/edit?usp=share_link"&amp;""",""ชุมพร!N93"")+IMPORTRANGE(""https://docs.google.com/spreadsheets/d/1v5sN-00LrXuhBxw4dkh2GrG_z4l5oAqOdJRBCsUyMaM/edit?usp=share_link"",""ตรัง!N93"")+IMPORTRANGE(""https://docs.google.com/spreadsheets/d/1T5rRTzFc79aSIvqnzkZNvwPstq829QYz_xALlO1Z0s8/edit?"&amp;"usp=share_link"",""นครศรีธรรมราช!N93"")+IMPORTRANGE(""https://docs.google.com/spreadsheets/d/1BeghqumK0IvCmRd2QOy6_afsZq7ZtAGrSnVJy2u7WmY/edit?usp=share_link"",""นราธิวาส!N93"")+IMPORTRANGE(""https://docs.google.com/spreadsheets/d/1IwnW3-jjRf74MCLW-6PiFwM"&amp;"UffRQXZwZA7YM609NmRc/edit?usp=share_link"",""ปัตตานี!N93"")+IMPORTRANGE(""https://docs.google.com/spreadsheets/d/1vl4QWbWdFruual5o_wdo6ZSqXZ_it806oja4CctTLKs/edit?usp=share_link"",""พังงา!N93"")+IMPORTRANGE(""https://docs.google.com/spreadsheets/d/1b6QssH"&amp;"Qp2FoAPSMKHOy273KNzAomaIKhtdlvuZ_zDNE/edit?usp=share_link"",""พัทลุง!N93"")+IMPORTRANGE(""https://docs.google.com/spreadsheets/d/1o7UZe4_OqlqtLDHrj01Z2YFRSZDf1DMy1n3XViHaxRc/edit?usp=share_link"",""ภูเก็ต!N93"")+IMPORTRANGE(""https://docs.google.com/sprea"&amp;"dsheets/d/1ctPm1vUzcUCPuOj9-eoHUD85PqINFqUB0TjdSWmR5-c/edit?usp=share_link"",""ยะลา!N93"")+IMPORTRANGE(""https://docs.google.com/spreadsheets/d/1YiDIE7Klmt8osgdapRqYWNr7iPGFSsiJqq46S7PYRE0/edit?usp=share_link"",""ระนอง!N93"")+IMPORTRANGE(""https://docs.go"&amp;"ogle.com/spreadsheets/d/16o_4B-V7AWw_6E93bSpXj_XxVv1oVQctk-B6z1dNEWU/edit?usp=share_link"",""สงขลา!N93"")+IMPORTRANGE(""https://docs.google.com/spreadsheets/d/16cywr71Fj4fA5OGRHsZh30ZG2gwJhMAQv69oVBzYHv0/edit?usp=share_link"",""สตูล!N93"")+IMPORTRANGE(""h"&amp;"ttps://docs.google.com/spreadsheets/d/1vO9Sws6kMtrVtyvrAJptINXjK8TFBoX9xLYOVK_C8bQ/edit?usp=share_link"",""สุราษฎร์ธานี!N93"")"),2036376.4)</f>
        <v>2036376.4</v>
      </c>
      <c r="O93" s="45">
        <f t="shared" ca="1" si="65"/>
        <v>74.784846014293166</v>
      </c>
      <c r="P93" s="45">
        <f t="shared" ca="1" si="66"/>
        <v>74.784846014293166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IFERROR(__xludf.DUMMYFUNCTION("IMPORTRANGE(""https://docs.google.com/spreadsheets/d/1kC41EOXpGBFOW658Fs3oD8beYlym0-zO54WY-2Qnp9I/edit?usp=share_link"",""กระบี่!L96"")
+IMPORTRANGE(""https://docs.google.com/spreadsheets/d/1FbzMZY_f3MDiEuK7RpCQKrilJ_kpX0Wm7QBZ1L7EjIU/edit?usp=share_link"&amp;""",""ชุมพร!L96"")+IMPORTRANGE(""https://docs.google.com/spreadsheets/d/1v5sN-00LrXuhBxw4dkh2GrG_z4l5oAqOdJRBCsUyMaM/edit?usp=share_link"",""ตรัง!L96"")+IMPORTRANGE(""https://docs.google.com/spreadsheets/d/1T5rRTzFc79aSIvqnzkZNvwPstq829QYz_xALlO1Z0s8/edit?"&amp;"usp=share_link"",""นครศรีธรรมราช!L96"")+IMPORTRANGE(""https://docs.google.com/spreadsheets/d/1BeghqumK0IvCmRd2QOy6_afsZq7ZtAGrSnVJy2u7WmY/edit?usp=share_link"",""นราธิวาส!L96"")+IMPORTRANGE(""https://docs.google.com/spreadsheets/d/1IwnW3-jjRf74MCLW-6PiFwM"&amp;"UffRQXZwZA7YM609NmRc/edit?usp=share_link"",""ปัตตานี!L96"")+IMPORTRANGE(""https://docs.google.com/spreadsheets/d/1vl4QWbWdFruual5o_wdo6ZSqXZ_it806oja4CctTLKs/edit?usp=share_link"",""พังงา!L96"")+IMPORTRANGE(""https://docs.google.com/spreadsheets/d/1b6QssH"&amp;"Qp2FoAPSMKHOy273KNzAomaIKhtdlvuZ_zDNE/edit?usp=share_link"",""พัทลุง!L96"")+IMPORTRANGE(""https://docs.google.com/spreadsheets/d/1o7UZe4_OqlqtLDHrj01Z2YFRSZDf1DMy1n3XViHaxRc/edit?usp=share_link"",""ภูเก็ต!L96"")+IMPORTRANGE(""https://docs.google.com/sprea"&amp;"dsheets/d/1ctPm1vUzcUCPuOj9-eoHUD85PqINFqUB0TjdSWmR5-c/edit?usp=share_link"",""ยะลา!L96"")+IMPORTRANGE(""https://docs.google.com/spreadsheets/d/1YiDIE7Klmt8osgdapRqYWNr7iPGFSsiJqq46S7PYRE0/edit?usp=share_link"",""ระนอง!L96"")+IMPORTRANGE(""https://docs.go"&amp;"ogle.com/spreadsheets/d/16o_4B-V7AWw_6E93bSpXj_XxVv1oVQctk-B6z1dNEWU/edit?usp=share_link"",""สงขลา!L96"")+IMPORTRANGE(""https://docs.google.com/spreadsheets/d/16cywr71Fj4fA5OGRHsZh30ZG2gwJhMAQv69oVBzYHv0/edit?usp=share_link"",""สตูล!L96"")+IMPORTRANGE(""h"&amp;"ttps://docs.google.com/spreadsheets/d/1vO9Sws6kMtrVtyvrAJptINXjK8TFBoX9xLYOVK_C8bQ/edit?usp=share_link"",""สุราษฎร์ธานี!L96"")"),0)</f>
        <v>0</v>
      </c>
      <c r="M96" s="45">
        <f ca="1">IFERROR(__xludf.DUMMYFUNCTION("IMPORTRANGE(""https://docs.google.com/spreadsheets/d/1kC41EOXpGBFOW658Fs3oD8beYlym0-zO54WY-2Qnp9I/edit?usp=share_link"",""กระบี่!M96"")
+IMPORTRANGE(""https://docs.google.com/spreadsheets/d/1FbzMZY_f3MDiEuK7RpCQKrilJ_kpX0Wm7QBZ1L7EjIU/edit?usp=share_link"&amp;""",""ชุมพร!M96"")+IMPORTRANGE(""https://docs.google.com/spreadsheets/d/1v5sN-00LrXuhBxw4dkh2GrG_z4l5oAqOdJRBCsUyMaM/edit?usp=share_link"",""ตรัง!M96"")+IMPORTRANGE(""https://docs.google.com/spreadsheets/d/1T5rRTzFc79aSIvqnzkZNvwPstq829QYz_xALlO1Z0s8/edit?"&amp;"usp=share_link"",""นครศรีธรรมราช!M96"")+IMPORTRANGE(""https://docs.google.com/spreadsheets/d/1BeghqumK0IvCmRd2QOy6_afsZq7ZtAGrSnVJy2u7WmY/edit?usp=share_link"",""นราธิวาส!M96"")+IMPORTRANGE(""https://docs.google.com/spreadsheets/d/1IwnW3-jjRf74MCLW-6PiFwM"&amp;"UffRQXZwZA7YM609NmRc/edit?usp=share_link"",""ปัตตานี!M96"")+IMPORTRANGE(""https://docs.google.com/spreadsheets/d/1vl4QWbWdFruual5o_wdo6ZSqXZ_it806oja4CctTLKs/edit?usp=share_link"",""พังงา!M96"")+IMPORTRANGE(""https://docs.google.com/spreadsheets/d/1b6QssH"&amp;"Qp2FoAPSMKHOy273KNzAomaIKhtdlvuZ_zDNE/edit?usp=share_link"",""พัทลุง!M96"")+IMPORTRANGE(""https://docs.google.com/spreadsheets/d/1o7UZe4_OqlqtLDHrj01Z2YFRSZDf1DMy1n3XViHaxRc/edit?usp=share_link"",""ภูเก็ต!M96"")+IMPORTRANGE(""https://docs.google.com/sprea"&amp;"dsheets/d/1ctPm1vUzcUCPuOj9-eoHUD85PqINFqUB0TjdSWmR5-c/edit?usp=share_link"",""ยะลา!M96"")+IMPORTRANGE(""https://docs.google.com/spreadsheets/d/1YiDIE7Klmt8osgdapRqYWNr7iPGFSsiJqq46S7PYRE0/edit?usp=share_link"",""ระนอง!M96"")+IMPORTRANGE(""https://docs.go"&amp;"ogle.com/spreadsheets/d/16o_4B-V7AWw_6E93bSpXj_XxVv1oVQctk-B6z1dNEWU/edit?usp=share_link"",""สงขลา!M96"")+IMPORTRANGE(""https://docs.google.com/spreadsheets/d/16cywr71Fj4fA5OGRHsZh30ZG2gwJhMAQv69oVBzYHv0/edit?usp=share_link"",""สตูล!M96"")+IMPORTRANGE(""h"&amp;"ttps://docs.google.com/spreadsheets/d/1vO9Sws6kMtrVtyvrAJptINXjK8TFBoX9xLYOVK_C8bQ/edit?usp=share_link"",""สุราษฎร์ธานี!M96"")"),0)</f>
        <v>0</v>
      </c>
      <c r="N96" s="45">
        <f ca="1">IFERROR(__xludf.DUMMYFUNCTION("IMPORTRANGE(""https://docs.google.com/spreadsheets/d/1kC41EOXpGBFOW658Fs3oD8beYlym0-zO54WY-2Qnp9I/edit?usp=share_link"",""กระบี่!N96"")
+IMPORTRANGE(""https://docs.google.com/spreadsheets/d/1FbzMZY_f3MDiEuK7RpCQKrilJ_kpX0Wm7QBZ1L7EjIU/edit?usp=share_link"&amp;""",""ชุมพร!N96"")+IMPORTRANGE(""https://docs.google.com/spreadsheets/d/1v5sN-00LrXuhBxw4dkh2GrG_z4l5oAqOdJRBCsUyMaM/edit?usp=share_link"",""ตรัง!N96"")+IMPORTRANGE(""https://docs.google.com/spreadsheets/d/1T5rRTzFc79aSIvqnzkZNvwPstq829QYz_xALlO1Z0s8/edit?"&amp;"usp=share_link"",""นครศรีธรรมราช!N96"")+IMPORTRANGE(""https://docs.google.com/spreadsheets/d/1BeghqumK0IvCmRd2QOy6_afsZq7ZtAGrSnVJy2u7WmY/edit?usp=share_link"",""นราธิวาส!N96"")+IMPORTRANGE(""https://docs.google.com/spreadsheets/d/1IwnW3-jjRf74MCLW-6PiFwM"&amp;"UffRQXZwZA7YM609NmRc/edit?usp=share_link"",""ปัตตานี!N96"")+IMPORTRANGE(""https://docs.google.com/spreadsheets/d/1vl4QWbWdFruual5o_wdo6ZSqXZ_it806oja4CctTLKs/edit?usp=share_link"",""พังงา!N96"")+IMPORTRANGE(""https://docs.google.com/spreadsheets/d/1b6QssH"&amp;"Qp2FoAPSMKHOy273KNzAomaIKhtdlvuZ_zDNE/edit?usp=share_link"",""พัทลุง!N96"")+IMPORTRANGE(""https://docs.google.com/spreadsheets/d/1o7UZe4_OqlqtLDHrj01Z2YFRSZDf1DMy1n3XViHaxRc/edit?usp=share_link"",""ภูเก็ต!N96"")+IMPORTRANGE(""https://docs.google.com/sprea"&amp;"dsheets/d/1ctPm1vUzcUCPuOj9-eoHUD85PqINFqUB0TjdSWmR5-c/edit?usp=share_link"",""ยะลา!N96"")+IMPORTRANGE(""https://docs.google.com/spreadsheets/d/1YiDIE7Klmt8osgdapRqYWNr7iPGFSsiJqq46S7PYRE0/edit?usp=share_link"",""ระนอง!N96"")+IMPORTRANGE(""https://docs.go"&amp;"ogle.com/spreadsheets/d/16o_4B-V7AWw_6E93bSpXj_XxVv1oVQctk-B6z1dNEWU/edit?usp=share_link"",""สงขลา!N96"")+IMPORTRANGE(""https://docs.google.com/spreadsheets/d/16cywr71Fj4fA5OGRHsZh30ZG2gwJhMAQv69oVBzYHv0/edit?usp=share_link"",""สตูล!N96"")+IMPORTRANGE(""h"&amp;"ttps://docs.google.com/spreadsheets/d/1vO9Sws6kMtrVtyvrAJptINXjK8TFBoX9xLYOVK_C8bQ/edit?usp=share_link"",""สุราษฎร์ธานี!N96"")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IFERROR(__xludf.DUMMYFUNCTION("IMPORTRANGE(""https://docs.google.com/spreadsheets/d/1kC41EOXpGBFOW658Fs3oD8beYlym0-zO54WY-2Qnp9I/edit?usp=share_link"",""กระบี่!I98"")
+IMPORTRANGE(""https://docs.google.com/spreadsheets/d/1FbzMZY_f3MDiEuK7RpCQKrilJ_kpX0Wm7QBZ1L7EjIU/edit?usp=share_link"&amp;""",""ชุมพร!I98"")+IMPORTRANGE(""https://docs.google.com/spreadsheets/d/1v5sN-00LrXuhBxw4dkh2GrG_z4l5oAqOdJRBCsUyMaM/edit?usp=share_link"",""ตรัง!I98"")+IMPORTRANGE(""https://docs.google.com/spreadsheets/d/1T5rRTzFc79aSIvqnzkZNvwPstq829QYz_xALlO1Z0s8/edit?"&amp;"usp=share_link"",""นครศรีธรรมราช!I98"")+IMPORTRANGE(""https://docs.google.com/spreadsheets/d/1BeghqumK0IvCmRd2QOy6_afsZq7ZtAGrSnVJy2u7WmY/edit?usp=share_link"",""นราธิวาส!I98"")+IMPORTRANGE(""https://docs.google.com/spreadsheets/d/1IwnW3-jjRf74MCLW-6PiFwM"&amp;"UffRQXZwZA7YM609NmRc/edit?usp=share_link"",""ปัตตานี!I98"")+IMPORTRANGE(""https://docs.google.com/spreadsheets/d/1vl4QWbWdFruual5o_wdo6ZSqXZ_it806oja4CctTLKs/edit?usp=share_link"",""พังงา!I98"")+IMPORTRANGE(""https://docs.google.com/spreadsheets/d/1b6QssH"&amp;"Qp2FoAPSMKHOy273KNzAomaIKhtdlvuZ_zDNE/edit?usp=share_link"",""พัทลุง!I98"")+IMPORTRANGE(""https://docs.google.com/spreadsheets/d/1o7UZe4_OqlqtLDHrj01Z2YFRSZDf1DMy1n3XViHaxRc/edit?usp=share_link"",""ภูเก็ต!I98"")+IMPORTRANGE(""https://docs.google.com/sprea"&amp;"dsheets/d/1ctPm1vUzcUCPuOj9-eoHUD85PqINFqUB0TjdSWmR5-c/edit?usp=share_link"",""ยะลา!I98"")+IMPORTRANGE(""https://docs.google.com/spreadsheets/d/1YiDIE7Klmt8osgdapRqYWNr7iPGFSsiJqq46S7PYRE0/edit?usp=share_link"",""ระนอง!I98"")+IMPORTRANGE(""https://docs.go"&amp;"ogle.com/spreadsheets/d/16o_4B-V7AWw_6E93bSpXj_XxVv1oVQctk-B6z1dNEWU/edit?usp=share_link"",""สงขลา!I98"")+IMPORTRANGE(""https://docs.google.com/spreadsheets/d/16cywr71Fj4fA5OGRHsZh30ZG2gwJhMAQv69oVBzYHv0/edit?usp=share_link"",""สตูล!I98"")+IMPORTRANGE(""h"&amp;"ttps://docs.google.com/spreadsheets/d/1vO9Sws6kMtrVtyvrAJptINXjK8TFBoX9xLYOVK_C8bQ/edit?usp=share_link"",""สุราษฎร์ธานี!I98"")"),285)</f>
        <v>285</v>
      </c>
      <c r="J98" s="37">
        <f ca="1">J102</f>
        <v>285</v>
      </c>
      <c r="K98" s="38">
        <f t="shared" ref="K98:K100" ca="1" si="71">IF(I98&gt;0,J98*100/I98,0)</f>
        <v>100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IFERROR(__xludf.DUMMYFUNCTION("IMPORTRANGE(""https://docs.google.com/spreadsheets/d/1kC41EOXpGBFOW658Fs3oD8beYlym0-zO54WY-2Qnp9I/edit?usp=share_link"",""กระบี่!I99"")
+IMPORTRANGE(""https://docs.google.com/spreadsheets/d/1FbzMZY_f3MDiEuK7RpCQKrilJ_kpX0Wm7QBZ1L7EjIU/edit?usp=share_link"&amp;""",""ชุมพร!I99"")+IMPORTRANGE(""https://docs.google.com/spreadsheets/d/1v5sN-00LrXuhBxw4dkh2GrG_z4l5oAqOdJRBCsUyMaM/edit?usp=share_link"",""ตรัง!I99"")+IMPORTRANGE(""https://docs.google.com/spreadsheets/d/1T5rRTzFc79aSIvqnzkZNvwPstq829QYz_xALlO1Z0s8/edit?"&amp;"usp=share_link"",""นครศรีธรรมราช!I99"")+IMPORTRANGE(""https://docs.google.com/spreadsheets/d/1BeghqumK0IvCmRd2QOy6_afsZq7ZtAGrSnVJy2u7WmY/edit?usp=share_link"",""นราธิวาส!I99"")+IMPORTRANGE(""https://docs.google.com/spreadsheets/d/1IwnW3-jjRf74MCLW-6PiFwM"&amp;"UffRQXZwZA7YM609NmRc/edit?usp=share_link"",""ปัตตานี!I99"")+IMPORTRANGE(""https://docs.google.com/spreadsheets/d/1vl4QWbWdFruual5o_wdo6ZSqXZ_it806oja4CctTLKs/edit?usp=share_link"",""พังงา!I99"")+IMPORTRANGE(""https://docs.google.com/spreadsheets/d/1b6QssH"&amp;"Qp2FoAPSMKHOy273KNzAomaIKhtdlvuZ_zDNE/edit?usp=share_link"",""พัทลุง!I99"")+IMPORTRANGE(""https://docs.google.com/spreadsheets/d/1o7UZe4_OqlqtLDHrj01Z2YFRSZDf1DMy1n3XViHaxRc/edit?usp=share_link"",""ภูเก็ต!I99"")+IMPORTRANGE(""https://docs.google.com/sprea"&amp;"dsheets/d/1ctPm1vUzcUCPuOj9-eoHUD85PqINFqUB0TjdSWmR5-c/edit?usp=share_link"",""ยะลา!I99"")+IMPORTRANGE(""https://docs.google.com/spreadsheets/d/1YiDIE7Klmt8osgdapRqYWNr7iPGFSsiJqq46S7PYRE0/edit?usp=share_link"",""ระนอง!I99"")+IMPORTRANGE(""https://docs.go"&amp;"ogle.com/spreadsheets/d/16o_4B-V7AWw_6E93bSpXj_XxVv1oVQctk-B6z1dNEWU/edit?usp=share_link"",""สงขลา!I99"")+IMPORTRANGE(""https://docs.google.com/spreadsheets/d/16cywr71Fj4fA5OGRHsZh30ZG2gwJhMAQv69oVBzYHv0/edit?usp=share_link"",""สตูล!I99"")+IMPORTRANGE(""h"&amp;"ttps://docs.google.com/spreadsheets/d/1vO9Sws6kMtrVtyvrAJptINXjK8TFBoX9xLYOVK_C8bQ/edit?usp=share_link"",""สุราษฎร์ธานี!I99"")"),95)</f>
        <v>95</v>
      </c>
      <c r="J99" s="37">
        <f ca="1">J104</f>
        <v>95</v>
      </c>
      <c r="K99" s="38">
        <f t="shared" ca="1" si="71"/>
        <v>100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IFERROR(__xludf.DUMMYFUNCTION("IMPORTRANGE(""https://docs.google.com/spreadsheets/d/1kC41EOXpGBFOW658Fs3oD8beYlym0-zO54WY-2Qnp9I/edit?usp=share_link"",""กระบี่!I100"")
+IMPORTRANGE(""https://docs.google.com/spreadsheets/d/1FbzMZY_f3MDiEuK7RpCQKrilJ_kpX0Wm7QBZ1L7EjIU/edit?usp=share_link"&amp;""",""ชุมพร!I100"")+IMPORTRANGE(""https://docs.google.com/spreadsheets/d/1v5sN-00LrXuhBxw4dkh2GrG_z4l5oAqOdJRBCsUyMaM/edit?usp=share_link"",""ตรัง!I100"")+IMPORTRANGE(""https://docs.google.com/spreadsheets/d/1T5rRTzFc79aSIvqnzkZNvwPstq829QYz_xALlO1Z0s8/edi"&amp;"t?usp=share_link"",""นครศรีธรรมราช!I100"")+IMPORTRANGE(""https://docs.google.com/spreadsheets/d/1BeghqumK0IvCmRd2QOy6_afsZq7ZtAGrSnVJy2u7WmY/edit?usp=share_link"",""นราธิวาส!I100"")+IMPORTRANGE(""https://docs.google.com/spreadsheets/d/1IwnW3-jjRf74MCLW-6P"&amp;"iFwMUffRQXZwZA7YM609NmRc/edit?usp=share_link"",""ปัตตานี!I100"")+IMPORTRANGE(""https://docs.google.com/spreadsheets/d/1vl4QWbWdFruual5o_wdo6ZSqXZ_it806oja4CctTLKs/edit?usp=share_link"",""พังงา!I100"")+IMPORTRANGE(""https://docs.google.com/spreadsheets/d/1"&amp;"b6QssHQp2FoAPSMKHOy273KNzAomaIKhtdlvuZ_zDNE/edit?usp=share_link"",""พัทลุง!I100"")+IMPORTRANGE(""https://docs.google.com/spreadsheets/d/1o7UZe4_OqlqtLDHrj01Z2YFRSZDf1DMy1n3XViHaxRc/edit?usp=share_link"",""ภูเก็ต!I100"")+IMPORTRANGE(""https://docs.google.c"&amp;"om/spreadsheets/d/1ctPm1vUzcUCPuOj9-eoHUD85PqINFqUB0TjdSWmR5-c/edit?usp=share_link"",""ยะลา!I100"")+IMPORTRANGE(""https://docs.google.com/spreadsheets/d/1YiDIE7Klmt8osgdapRqYWNr7iPGFSsiJqq46S7PYRE0/edit?usp=share_link"",""ระนอง!I100"")+IMPORTRANGE(""https"&amp;"://docs.google.com/spreadsheets/d/16o_4B-V7AWw_6E93bSpXj_XxVv1oVQctk-B6z1dNEWU/edit?usp=share_link"",""สงขลา!I100"")+IMPORTRANGE(""https://docs.google.com/spreadsheets/d/16cywr71Fj4fA5OGRHsZh30ZG2gwJhMAQv69oVBzYHv0/edit?usp=share_link"",""สตูล!I100"")+IMP"&amp;"ORTRANGE(""https://docs.google.com/spreadsheets/d/1vO9Sws6kMtrVtyvrAJptINXjK8TFBoX9xLYOVK_C8bQ/edit?usp=share_link"",""สุราษฎร์ธานี!I100"")"),19)</f>
        <v>19</v>
      </c>
      <c r="J100" s="37">
        <f ca="1">J107+J110</f>
        <v>18</v>
      </c>
      <c r="K100" s="38">
        <f t="shared" ca="1" si="71"/>
        <v>94.736842105263165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IFERROR(__xludf.DUMMYFUNCTION("IMPORTRANGE(""https://docs.google.com/spreadsheets/d/1kC41EOXpGBFOW658Fs3oD8beYlym0-zO54WY-2Qnp9I/edit?usp=share_link"",""กระบี่!I102"")
+IMPORTRANGE(""https://docs.google.com/spreadsheets/d/1FbzMZY_f3MDiEuK7RpCQKrilJ_kpX0Wm7QBZ1L7EjIU/edit?usp=share_link"&amp;""",""ชุมพร!I102"")+IMPORTRANGE(""https://docs.google.com/spreadsheets/d/1v5sN-00LrXuhBxw4dkh2GrG_z4l5oAqOdJRBCsUyMaM/edit?usp=share_link"",""ตรัง!I102"")+IMPORTRANGE(""https://docs.google.com/spreadsheets/d/1T5rRTzFc79aSIvqnzkZNvwPstq829QYz_xALlO1Z0s8/edi"&amp;"t?usp=share_link"",""นครศรีธรรมราช!I102"")+IMPORTRANGE(""https://docs.google.com/spreadsheets/d/1BeghqumK0IvCmRd2QOy6_afsZq7ZtAGrSnVJy2u7WmY/edit?usp=share_link"",""นราธิวาส!I102"")+IMPORTRANGE(""https://docs.google.com/spreadsheets/d/1IwnW3-jjRf74MCLW-6P"&amp;"iFwMUffRQXZwZA7YM609NmRc/edit?usp=share_link"",""ปัตตานี!I102"")+IMPORTRANGE(""https://docs.google.com/spreadsheets/d/1vl4QWbWdFruual5o_wdo6ZSqXZ_it806oja4CctTLKs/edit?usp=share_link"",""พังงา!I102"")+IMPORTRANGE(""https://docs.google.com/spreadsheets/d/1"&amp;"b6QssHQp2FoAPSMKHOy273KNzAomaIKhtdlvuZ_zDNE/edit?usp=share_link"",""พัทลุง!I102"")+IMPORTRANGE(""https://docs.google.com/spreadsheets/d/1o7UZe4_OqlqtLDHrj01Z2YFRSZDf1DMy1n3XViHaxRc/edit?usp=share_link"",""ภูเก็ต!I102"")+IMPORTRANGE(""https://docs.google.c"&amp;"om/spreadsheets/d/1ctPm1vUzcUCPuOj9-eoHUD85PqINFqUB0TjdSWmR5-c/edit?usp=share_link"",""ยะลา!I102"")+IMPORTRANGE(""https://docs.google.com/spreadsheets/d/1YiDIE7Klmt8osgdapRqYWNr7iPGFSsiJqq46S7PYRE0/edit?usp=share_link"",""ระนอง!I102"")+IMPORTRANGE(""https"&amp;"://docs.google.com/spreadsheets/d/16o_4B-V7AWw_6E93bSpXj_XxVv1oVQctk-B6z1dNEWU/edit?usp=share_link"",""สงขลา!I102"")+IMPORTRANGE(""https://docs.google.com/spreadsheets/d/16cywr71Fj4fA5OGRHsZh30ZG2gwJhMAQv69oVBzYHv0/edit?usp=share_link"",""สตูล!I102"")+IMP"&amp;"ORTRANGE(""https://docs.google.com/spreadsheets/d/1vO9Sws6kMtrVtyvrAJptINXjK8TFBoX9xLYOVK_C8bQ/edit?usp=share_link"",""สุราษฎร์ธานี!I102"")"),285)</f>
        <v>285</v>
      </c>
      <c r="J102" s="183">
        <f ca="1">IFERROR(__xludf.DUMMYFUNCTION("IMPORTRANGE(""https://docs.google.com/spreadsheets/d/1kC41EOXpGBFOW658Fs3oD8beYlym0-zO54WY-2Qnp9I/edit?usp=share_link"",""กระบี่!J102"")
+IMPORTRANGE(""https://docs.google.com/spreadsheets/d/1FbzMZY_f3MDiEuK7RpCQKrilJ_kpX0Wm7QBZ1L7EjIU/edit?usp=share_link"&amp;""",""ชุมพร!J102"")+IMPORTRANGE(""https://docs.google.com/spreadsheets/d/1v5sN-00LrXuhBxw4dkh2GrG_z4l5oAqOdJRBCsUyMaM/edit?usp=share_link"",""ตรัง!J102"")+IMPORTRANGE(""https://docs.google.com/spreadsheets/d/1T5rRTzFc79aSIvqnzkZNvwPstq829QYz_xALlO1Z0s8/edi"&amp;"t?usp=share_link"",""นครศรีธรรมราช!J102"")+IMPORTRANGE(""https://docs.google.com/spreadsheets/d/1BeghqumK0IvCmRd2QOy6_afsZq7ZtAGrSnVJy2u7WmY/edit?usp=share_link"",""นราธิวาส!J102"")+IMPORTRANGE(""https://docs.google.com/spreadsheets/d/1IwnW3-jjRf74MCLW-6P"&amp;"iFwMUffRQXZwZA7YM609NmRc/edit?usp=share_link"",""ปัตตานี!J102"")+IMPORTRANGE(""https://docs.google.com/spreadsheets/d/1vl4QWbWdFruual5o_wdo6ZSqXZ_it806oja4CctTLKs/edit?usp=share_link"",""พังงา!J102"")+IMPORTRANGE(""https://docs.google.com/spreadsheets/d/1"&amp;"b6QssHQp2FoAPSMKHOy273KNzAomaIKhtdlvuZ_zDNE/edit?usp=share_link"",""พัทลุง!J102"")+IMPORTRANGE(""https://docs.google.com/spreadsheets/d/1o7UZe4_OqlqtLDHrj01Z2YFRSZDf1DMy1n3XViHaxRc/edit?usp=share_link"",""ภูเก็ต!J102"")+IMPORTRANGE(""https://docs.google.c"&amp;"om/spreadsheets/d/1ctPm1vUzcUCPuOj9-eoHUD85PqINFqUB0TjdSWmR5-c/edit?usp=share_link"",""ยะลา!J102"")+IMPORTRANGE(""https://docs.google.com/spreadsheets/d/1YiDIE7Klmt8osgdapRqYWNr7iPGFSsiJqq46S7PYRE0/edit?usp=share_link"",""ระนอง!J102"")+IMPORTRANGE(""https"&amp;"://docs.google.com/spreadsheets/d/16o_4B-V7AWw_6E93bSpXj_XxVv1oVQctk-B6z1dNEWU/edit?usp=share_link"",""สงขลา!J102"")+IMPORTRANGE(""https://docs.google.com/spreadsheets/d/16cywr71Fj4fA5OGRHsZh30ZG2gwJhMAQv69oVBzYHv0/edit?usp=share_link"",""สตูล!J102"")+IMP"&amp;"ORTRANGE(""https://docs.google.com/spreadsheets/d/1vO9Sws6kMtrVtyvrAJptINXjK8TFBoX9xLYOVK_C8bQ/edit?usp=share_link"",""สุราษฎร์ธานี!J102"")"),285)</f>
        <v>285</v>
      </c>
      <c r="K102" s="38">
        <f t="shared" ref="K102:K104" ca="1" si="72">IF(I102&gt;0,J102*100/I102,0)</f>
        <v>100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IFERROR(__xludf.DUMMYFUNCTION("IMPORTRANGE(""https://docs.google.com/spreadsheets/d/1kC41EOXpGBFOW658Fs3oD8beYlym0-zO54WY-2Qnp9I/edit?usp=share_link"",""กระบี่!I103"")
+IMPORTRANGE(""https://docs.google.com/spreadsheets/d/1FbzMZY_f3MDiEuK7RpCQKrilJ_kpX0Wm7QBZ1L7EjIU/edit?usp=share_link"&amp;""",""ชุมพร!I103"")+IMPORTRANGE(""https://docs.google.com/spreadsheets/d/1v5sN-00LrXuhBxw4dkh2GrG_z4l5oAqOdJRBCsUyMaM/edit?usp=share_link"",""ตรัง!I103"")+IMPORTRANGE(""https://docs.google.com/spreadsheets/d/1T5rRTzFc79aSIvqnzkZNvwPstq829QYz_xALlO1Z0s8/edi"&amp;"t?usp=share_link"",""นครศรีธรรมราช!I103"")+IMPORTRANGE(""https://docs.google.com/spreadsheets/d/1BeghqumK0IvCmRd2QOy6_afsZq7ZtAGrSnVJy2u7WmY/edit?usp=share_link"",""นราธิวาส!I103"")+IMPORTRANGE(""https://docs.google.com/spreadsheets/d/1IwnW3-jjRf74MCLW-6P"&amp;"iFwMUffRQXZwZA7YM609NmRc/edit?usp=share_link"",""ปัตตานี!I103"")+IMPORTRANGE(""https://docs.google.com/spreadsheets/d/1vl4QWbWdFruual5o_wdo6ZSqXZ_it806oja4CctTLKs/edit?usp=share_link"",""พังงา!I103"")+IMPORTRANGE(""https://docs.google.com/spreadsheets/d/1"&amp;"b6QssHQp2FoAPSMKHOy273KNzAomaIKhtdlvuZ_zDNE/edit?usp=share_link"",""พัทลุง!I103"")+IMPORTRANGE(""https://docs.google.com/spreadsheets/d/1o7UZe4_OqlqtLDHrj01Z2YFRSZDf1DMy1n3XViHaxRc/edit?usp=share_link"",""ภูเก็ต!I103"")+IMPORTRANGE(""https://docs.google.c"&amp;"om/spreadsheets/d/1ctPm1vUzcUCPuOj9-eoHUD85PqINFqUB0TjdSWmR5-c/edit?usp=share_link"",""ยะลา!I103"")+IMPORTRANGE(""https://docs.google.com/spreadsheets/d/1YiDIE7Klmt8osgdapRqYWNr7iPGFSsiJqq46S7PYRE0/edit?usp=share_link"",""ระนอง!I103"")+IMPORTRANGE(""https"&amp;"://docs.google.com/spreadsheets/d/16o_4B-V7AWw_6E93bSpXj_XxVv1oVQctk-B6z1dNEWU/edit?usp=share_link"",""สงขลา!I103"")+IMPORTRANGE(""https://docs.google.com/spreadsheets/d/16cywr71Fj4fA5OGRHsZh30ZG2gwJhMAQv69oVBzYHv0/edit?usp=share_link"",""สตูล!I103"")+IMP"&amp;"ORTRANGE(""https://docs.google.com/spreadsheets/d/1vO9Sws6kMtrVtyvrAJptINXjK8TFBoX9xLYOVK_C8bQ/edit?usp=share_link"",""สุราษฎร์ธานี!I103"")"),95)</f>
        <v>95</v>
      </c>
      <c r="J103" s="183">
        <f ca="1">IFERROR(__xludf.DUMMYFUNCTION("IMPORTRANGE(""https://docs.google.com/spreadsheets/d/1kC41EOXpGBFOW658Fs3oD8beYlym0-zO54WY-2Qnp9I/edit?usp=share_link"",""กระบี่!J103"")
+IMPORTRANGE(""https://docs.google.com/spreadsheets/d/1FbzMZY_f3MDiEuK7RpCQKrilJ_kpX0Wm7QBZ1L7EjIU/edit?usp=share_link"&amp;""",""ชุมพร!J103"")+IMPORTRANGE(""https://docs.google.com/spreadsheets/d/1v5sN-00LrXuhBxw4dkh2GrG_z4l5oAqOdJRBCsUyMaM/edit?usp=share_link"",""ตรัง!J103"")+IMPORTRANGE(""https://docs.google.com/spreadsheets/d/1T5rRTzFc79aSIvqnzkZNvwPstq829QYz_xALlO1Z0s8/edi"&amp;"t?usp=share_link"",""นครศรีธรรมราช!J103"")+IMPORTRANGE(""https://docs.google.com/spreadsheets/d/1BeghqumK0IvCmRd2QOy6_afsZq7ZtAGrSnVJy2u7WmY/edit?usp=share_link"",""นราธิวาส!J103"")+IMPORTRANGE(""https://docs.google.com/spreadsheets/d/1IwnW3-jjRf74MCLW-6P"&amp;"iFwMUffRQXZwZA7YM609NmRc/edit?usp=share_link"",""ปัตตานี!J103"")+IMPORTRANGE(""https://docs.google.com/spreadsheets/d/1vl4QWbWdFruual5o_wdo6ZSqXZ_it806oja4CctTLKs/edit?usp=share_link"",""พังงา!J103"")+IMPORTRANGE(""https://docs.google.com/spreadsheets/d/1"&amp;"b6QssHQp2FoAPSMKHOy273KNzAomaIKhtdlvuZ_zDNE/edit?usp=share_link"",""พัทลุง!J103"")+IMPORTRANGE(""https://docs.google.com/spreadsheets/d/1o7UZe4_OqlqtLDHrj01Z2YFRSZDf1DMy1n3XViHaxRc/edit?usp=share_link"",""ภูเก็ต!J103"")+IMPORTRANGE(""https://docs.google.c"&amp;"om/spreadsheets/d/1ctPm1vUzcUCPuOj9-eoHUD85PqINFqUB0TjdSWmR5-c/edit?usp=share_link"",""ยะลา!J103"")+IMPORTRANGE(""https://docs.google.com/spreadsheets/d/1YiDIE7Klmt8osgdapRqYWNr7iPGFSsiJqq46S7PYRE0/edit?usp=share_link"",""ระนอง!J103"")+IMPORTRANGE(""https"&amp;"://docs.google.com/spreadsheets/d/16o_4B-V7AWw_6E93bSpXj_XxVv1oVQctk-B6z1dNEWU/edit?usp=share_link"",""สงขลา!J103"")+IMPORTRANGE(""https://docs.google.com/spreadsheets/d/16cywr71Fj4fA5OGRHsZh30ZG2gwJhMAQv69oVBzYHv0/edit?usp=share_link"",""สตูล!J103"")+IMP"&amp;"ORTRANGE(""https://docs.google.com/spreadsheets/d/1vO9Sws6kMtrVtyvrAJptINXjK8TFBoX9xLYOVK_C8bQ/edit?usp=share_link"",""สุราษฎร์ธานี!J103"")"),95)</f>
        <v>95</v>
      </c>
      <c r="K103" s="38">
        <f t="shared" ca="1" si="72"/>
        <v>100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IFERROR(__xludf.DUMMYFUNCTION("IMPORTRANGE(""https://docs.google.com/spreadsheets/d/1kC41EOXpGBFOW658Fs3oD8beYlym0-zO54WY-2Qnp9I/edit?usp=share_link"",""กระบี่!I104"")
+IMPORTRANGE(""https://docs.google.com/spreadsheets/d/1FbzMZY_f3MDiEuK7RpCQKrilJ_kpX0Wm7QBZ1L7EjIU/edit?usp=share_link"&amp;""",""ชุมพร!I104"")+IMPORTRANGE(""https://docs.google.com/spreadsheets/d/1v5sN-00LrXuhBxw4dkh2GrG_z4l5oAqOdJRBCsUyMaM/edit?usp=share_link"",""ตรัง!I104"")+IMPORTRANGE(""https://docs.google.com/spreadsheets/d/1T5rRTzFc79aSIvqnzkZNvwPstq829QYz_xALlO1Z0s8/edi"&amp;"t?usp=share_link"",""นครศรีธรรมราช!I104"")+IMPORTRANGE(""https://docs.google.com/spreadsheets/d/1BeghqumK0IvCmRd2QOy6_afsZq7ZtAGrSnVJy2u7WmY/edit?usp=share_link"",""นราธิวาส!I104"")+IMPORTRANGE(""https://docs.google.com/spreadsheets/d/1IwnW3-jjRf74MCLW-6P"&amp;"iFwMUffRQXZwZA7YM609NmRc/edit?usp=share_link"",""ปัตตานี!I104"")+IMPORTRANGE(""https://docs.google.com/spreadsheets/d/1vl4QWbWdFruual5o_wdo6ZSqXZ_it806oja4CctTLKs/edit?usp=share_link"",""พังงา!I104"")+IMPORTRANGE(""https://docs.google.com/spreadsheets/d/1"&amp;"b6QssHQp2FoAPSMKHOy273KNzAomaIKhtdlvuZ_zDNE/edit?usp=share_link"",""พัทลุง!I104"")+IMPORTRANGE(""https://docs.google.com/spreadsheets/d/1o7UZe4_OqlqtLDHrj01Z2YFRSZDf1DMy1n3XViHaxRc/edit?usp=share_link"",""ภูเก็ต!I104"")+IMPORTRANGE(""https://docs.google.c"&amp;"om/spreadsheets/d/1ctPm1vUzcUCPuOj9-eoHUD85PqINFqUB0TjdSWmR5-c/edit?usp=share_link"",""ยะลา!I104"")+IMPORTRANGE(""https://docs.google.com/spreadsheets/d/1YiDIE7Klmt8osgdapRqYWNr7iPGFSsiJqq46S7PYRE0/edit?usp=share_link"",""ระนอง!I104"")+IMPORTRANGE(""https"&amp;"://docs.google.com/spreadsheets/d/16o_4B-V7AWw_6E93bSpXj_XxVv1oVQctk-B6z1dNEWU/edit?usp=share_link"",""สงขลา!I104"")+IMPORTRANGE(""https://docs.google.com/spreadsheets/d/16cywr71Fj4fA5OGRHsZh30ZG2gwJhMAQv69oVBzYHv0/edit?usp=share_link"",""สตูล!I104"")+IMP"&amp;"ORTRANGE(""https://docs.google.com/spreadsheets/d/1vO9Sws6kMtrVtyvrAJptINXjK8TFBoX9xLYOVK_C8bQ/edit?usp=share_link"",""สุราษฎร์ธานี!I104"")"),95)</f>
        <v>95</v>
      </c>
      <c r="J104" s="183">
        <f ca="1">IFERROR(__xludf.DUMMYFUNCTION("IMPORTRANGE(""https://docs.google.com/spreadsheets/d/1kC41EOXpGBFOW658Fs3oD8beYlym0-zO54WY-2Qnp9I/edit?usp=share_link"",""กระบี่!J104"")
+IMPORTRANGE(""https://docs.google.com/spreadsheets/d/1FbzMZY_f3MDiEuK7RpCQKrilJ_kpX0Wm7QBZ1L7EjIU/edit?usp=share_link"&amp;""",""ชุมพร!J104"")+IMPORTRANGE(""https://docs.google.com/spreadsheets/d/1v5sN-00LrXuhBxw4dkh2GrG_z4l5oAqOdJRBCsUyMaM/edit?usp=share_link"",""ตรัง!J104"")+IMPORTRANGE(""https://docs.google.com/spreadsheets/d/1T5rRTzFc79aSIvqnzkZNvwPstq829QYz_xALlO1Z0s8/edi"&amp;"t?usp=share_link"",""นครศรีธรรมราช!J104"")+IMPORTRANGE(""https://docs.google.com/spreadsheets/d/1BeghqumK0IvCmRd2QOy6_afsZq7ZtAGrSnVJy2u7WmY/edit?usp=share_link"",""นราธิวาส!J104"")+IMPORTRANGE(""https://docs.google.com/spreadsheets/d/1IwnW3-jjRf74MCLW-6P"&amp;"iFwMUffRQXZwZA7YM609NmRc/edit?usp=share_link"",""ปัตตานี!J104"")+IMPORTRANGE(""https://docs.google.com/spreadsheets/d/1vl4QWbWdFruual5o_wdo6ZSqXZ_it806oja4CctTLKs/edit?usp=share_link"",""พังงา!J104"")+IMPORTRANGE(""https://docs.google.com/spreadsheets/d/1"&amp;"b6QssHQp2FoAPSMKHOy273KNzAomaIKhtdlvuZ_zDNE/edit?usp=share_link"",""พัทลุง!J104"")+IMPORTRANGE(""https://docs.google.com/spreadsheets/d/1o7UZe4_OqlqtLDHrj01Z2YFRSZDf1DMy1n3XViHaxRc/edit?usp=share_link"",""ภูเก็ต!J104"")+IMPORTRANGE(""https://docs.google.c"&amp;"om/spreadsheets/d/1ctPm1vUzcUCPuOj9-eoHUD85PqINFqUB0TjdSWmR5-c/edit?usp=share_link"",""ยะลา!J104"")+IMPORTRANGE(""https://docs.google.com/spreadsheets/d/1YiDIE7Klmt8osgdapRqYWNr7iPGFSsiJqq46S7PYRE0/edit?usp=share_link"",""ระนอง!J104"")+IMPORTRANGE(""https"&amp;"://docs.google.com/spreadsheets/d/16o_4B-V7AWw_6E93bSpXj_XxVv1oVQctk-B6z1dNEWU/edit?usp=share_link"",""สงขลา!J104"")+IMPORTRANGE(""https://docs.google.com/spreadsheets/d/16cywr71Fj4fA5OGRHsZh30ZG2gwJhMAQv69oVBzYHv0/edit?usp=share_link"",""สตูล!J104"")+IMP"&amp;"ORTRANGE(""https://docs.google.com/spreadsheets/d/1vO9Sws6kMtrVtyvrAJptINXjK8TFBoX9xLYOVK_C8bQ/edit?usp=share_link"",""สุราษฎร์ธานี!J104"")"),95)</f>
        <v>95</v>
      </c>
      <c r="K104" s="38">
        <f t="shared" ca="1" si="72"/>
        <v>100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IFERROR(__xludf.DUMMYFUNCTION("IMPORTRANGE(""https://docs.google.com/spreadsheets/d/1kC41EOXpGBFOW658Fs3oD8beYlym0-zO54WY-2Qnp9I/edit?usp=share_link"",""กระบี่!I106"")
+IMPORTRANGE(""https://docs.google.com/spreadsheets/d/1FbzMZY_f3MDiEuK7RpCQKrilJ_kpX0Wm7QBZ1L7EjIU/edit?usp=share_link"&amp;""",""ชุมพร!I106"")+IMPORTRANGE(""https://docs.google.com/spreadsheets/d/1v5sN-00LrXuhBxw4dkh2GrG_z4l5oAqOdJRBCsUyMaM/edit?usp=share_link"",""ตรัง!I106"")+IMPORTRANGE(""https://docs.google.com/spreadsheets/d/1T5rRTzFc79aSIvqnzkZNvwPstq829QYz_xALlO1Z0s8/edi"&amp;"t?usp=share_link"",""นครศรีธรรมราช!I106"")+IMPORTRANGE(""https://docs.google.com/spreadsheets/d/1BeghqumK0IvCmRd2QOy6_afsZq7ZtAGrSnVJy2u7WmY/edit?usp=share_link"",""นราธิวาส!I106"")+IMPORTRANGE(""https://docs.google.com/spreadsheets/d/1IwnW3-jjRf74MCLW-6P"&amp;"iFwMUffRQXZwZA7YM609NmRc/edit?usp=share_link"",""ปัตตานี!I106"")+IMPORTRANGE(""https://docs.google.com/spreadsheets/d/1vl4QWbWdFruual5o_wdo6ZSqXZ_it806oja4CctTLKs/edit?usp=share_link"",""พังงา!I106"")+IMPORTRANGE(""https://docs.google.com/spreadsheets/d/1"&amp;"b6QssHQp2FoAPSMKHOy273KNzAomaIKhtdlvuZ_zDNE/edit?usp=share_link"",""พัทลุง!I106"")+IMPORTRANGE(""https://docs.google.com/spreadsheets/d/1o7UZe4_OqlqtLDHrj01Z2YFRSZDf1DMy1n3XViHaxRc/edit?usp=share_link"",""ภูเก็ต!I106"")+IMPORTRANGE(""https://docs.google.c"&amp;"om/spreadsheets/d/1ctPm1vUzcUCPuOj9-eoHUD85PqINFqUB0TjdSWmR5-c/edit?usp=share_link"",""ยะลา!I106"")+IMPORTRANGE(""https://docs.google.com/spreadsheets/d/1YiDIE7Klmt8osgdapRqYWNr7iPGFSsiJqq46S7PYRE0/edit?usp=share_link"",""ระนอง!I106"")+IMPORTRANGE(""https"&amp;"://docs.google.com/spreadsheets/d/16o_4B-V7AWw_6E93bSpXj_XxVv1oVQctk-B6z1dNEWU/edit?usp=share_link"",""สงขลา!I106"")+IMPORTRANGE(""https://docs.google.com/spreadsheets/d/16cywr71Fj4fA5OGRHsZh30ZG2gwJhMAQv69oVBzYHv0/edit?usp=share_link"",""สตูล!I106"")+IMP"&amp;"ORTRANGE(""https://docs.google.com/spreadsheets/d/1vO9Sws6kMtrVtyvrAJptINXjK8TFBoX9xLYOVK_C8bQ/edit?usp=share_link"",""สุราษฎร์ธานี!I106"")"),11)</f>
        <v>11</v>
      </c>
      <c r="J106" s="183">
        <f ca="1">IFERROR(__xludf.DUMMYFUNCTION("IMPORTRANGE(""https://docs.google.com/spreadsheets/d/1kC41EOXpGBFOW658Fs3oD8beYlym0-zO54WY-2Qnp9I/edit?usp=share_link"",""กระบี่!J106"")
+IMPORTRANGE(""https://docs.google.com/spreadsheets/d/1FbzMZY_f3MDiEuK7RpCQKrilJ_kpX0Wm7QBZ1L7EjIU/edit?usp=share_link"&amp;""",""ชุมพร!J106"")+IMPORTRANGE(""https://docs.google.com/spreadsheets/d/1v5sN-00LrXuhBxw4dkh2GrG_z4l5oAqOdJRBCsUyMaM/edit?usp=share_link"",""ตรัง!J106"")+IMPORTRANGE(""https://docs.google.com/spreadsheets/d/1T5rRTzFc79aSIvqnzkZNvwPstq829QYz_xALlO1Z0s8/edi"&amp;"t?usp=share_link"",""นครศรีธรรมราช!J106"")+IMPORTRANGE(""https://docs.google.com/spreadsheets/d/1BeghqumK0IvCmRd2QOy6_afsZq7ZtAGrSnVJy2u7WmY/edit?usp=share_link"",""นราธิวาส!J106"")+IMPORTRANGE(""https://docs.google.com/spreadsheets/d/1IwnW3-jjRf74MCLW-6P"&amp;"iFwMUffRQXZwZA7YM609NmRc/edit?usp=share_link"",""ปัตตานี!J106"")+IMPORTRANGE(""https://docs.google.com/spreadsheets/d/1vl4QWbWdFruual5o_wdo6ZSqXZ_it806oja4CctTLKs/edit?usp=share_link"",""พังงา!J106"")+IMPORTRANGE(""https://docs.google.com/spreadsheets/d/1"&amp;"b6QssHQp2FoAPSMKHOy273KNzAomaIKhtdlvuZ_zDNE/edit?usp=share_link"",""พัทลุง!J106"")+IMPORTRANGE(""https://docs.google.com/spreadsheets/d/1o7UZe4_OqlqtLDHrj01Z2YFRSZDf1DMy1n3XViHaxRc/edit?usp=share_link"",""ภูเก็ต!J106"")+IMPORTRANGE(""https://docs.google.c"&amp;"om/spreadsheets/d/1ctPm1vUzcUCPuOj9-eoHUD85PqINFqUB0TjdSWmR5-c/edit?usp=share_link"",""ยะลา!J106"")+IMPORTRANGE(""https://docs.google.com/spreadsheets/d/1YiDIE7Klmt8osgdapRqYWNr7iPGFSsiJqq46S7PYRE0/edit?usp=share_link"",""ระนอง!J106"")+IMPORTRANGE(""https"&amp;"://docs.google.com/spreadsheets/d/16o_4B-V7AWw_6E93bSpXj_XxVv1oVQctk-B6z1dNEWU/edit?usp=share_link"",""สงขลา!J106"")+IMPORTRANGE(""https://docs.google.com/spreadsheets/d/16cywr71Fj4fA5OGRHsZh30ZG2gwJhMAQv69oVBzYHv0/edit?usp=share_link"",""สตูล!J106"")+IMP"&amp;"ORTRANGE(""https://docs.google.com/spreadsheets/d/1vO9Sws6kMtrVtyvrAJptINXjK8TFBoX9xLYOVK_C8bQ/edit?usp=share_link"",""สุราษฎร์ธานี!J106"")"),11)</f>
        <v>11</v>
      </c>
      <c r="K106" s="38">
        <f t="shared" ref="K106:K107" ca="1" si="73">IF(I106&gt;0,J106*100/I106,0)</f>
        <v>100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IFERROR(__xludf.DUMMYFUNCTION("IMPORTRANGE(""https://docs.google.com/spreadsheets/d/1kC41EOXpGBFOW658Fs3oD8beYlym0-zO54WY-2Qnp9I/edit?usp=share_link"",""กระบี่!I107"")
+IMPORTRANGE(""https://docs.google.com/spreadsheets/d/1FbzMZY_f3MDiEuK7RpCQKrilJ_kpX0Wm7QBZ1L7EjIU/edit?usp=share_link"&amp;""",""ชุมพร!I107"")+IMPORTRANGE(""https://docs.google.com/spreadsheets/d/1v5sN-00LrXuhBxw4dkh2GrG_z4l5oAqOdJRBCsUyMaM/edit?usp=share_link"",""ตรัง!I107"")+IMPORTRANGE(""https://docs.google.com/spreadsheets/d/1T5rRTzFc79aSIvqnzkZNvwPstq829QYz_xALlO1Z0s8/edi"&amp;"t?usp=share_link"",""นครศรีธรรมราช!I107"")+IMPORTRANGE(""https://docs.google.com/spreadsheets/d/1BeghqumK0IvCmRd2QOy6_afsZq7ZtAGrSnVJy2u7WmY/edit?usp=share_link"",""นราธิวาส!I107"")+IMPORTRANGE(""https://docs.google.com/spreadsheets/d/1IwnW3-jjRf74MCLW-6P"&amp;"iFwMUffRQXZwZA7YM609NmRc/edit?usp=share_link"",""ปัตตานี!I107"")+IMPORTRANGE(""https://docs.google.com/spreadsheets/d/1vl4QWbWdFruual5o_wdo6ZSqXZ_it806oja4CctTLKs/edit?usp=share_link"",""พังงา!I107"")+IMPORTRANGE(""https://docs.google.com/spreadsheets/d/1"&amp;"b6QssHQp2FoAPSMKHOy273KNzAomaIKhtdlvuZ_zDNE/edit?usp=share_link"",""พัทลุง!I107"")+IMPORTRANGE(""https://docs.google.com/spreadsheets/d/1o7UZe4_OqlqtLDHrj01Z2YFRSZDf1DMy1n3XViHaxRc/edit?usp=share_link"",""ภูเก็ต!I107"")+IMPORTRANGE(""https://docs.google.c"&amp;"om/spreadsheets/d/1ctPm1vUzcUCPuOj9-eoHUD85PqINFqUB0TjdSWmR5-c/edit?usp=share_link"",""ยะลา!I107"")+IMPORTRANGE(""https://docs.google.com/spreadsheets/d/1YiDIE7Klmt8osgdapRqYWNr7iPGFSsiJqq46S7PYRE0/edit?usp=share_link"",""ระนอง!I107"")+IMPORTRANGE(""https"&amp;"://docs.google.com/spreadsheets/d/16o_4B-V7AWw_6E93bSpXj_XxVv1oVQctk-B6z1dNEWU/edit?usp=share_link"",""สงขลา!I107"")+IMPORTRANGE(""https://docs.google.com/spreadsheets/d/16cywr71Fj4fA5OGRHsZh30ZG2gwJhMAQv69oVBzYHv0/edit?usp=share_link"",""สตูล!I107"")+IMP"&amp;"ORTRANGE(""https://docs.google.com/spreadsheets/d/1vO9Sws6kMtrVtyvrAJptINXjK8TFBoX9xLYOVK_C8bQ/edit?usp=share_link"",""สุราษฎร์ธานี!I107"")"),11)</f>
        <v>11</v>
      </c>
      <c r="J107" s="183">
        <f ca="1">IFERROR(__xludf.DUMMYFUNCTION("IMPORTRANGE(""https://docs.google.com/spreadsheets/d/1kC41EOXpGBFOW658Fs3oD8beYlym0-zO54WY-2Qnp9I/edit?usp=share_link"",""กระบี่!J107"")
+IMPORTRANGE(""https://docs.google.com/spreadsheets/d/1FbzMZY_f3MDiEuK7RpCQKrilJ_kpX0Wm7QBZ1L7EjIU/edit?usp=share_link"&amp;""",""ชุมพร!J107"")+IMPORTRANGE(""https://docs.google.com/spreadsheets/d/1v5sN-00LrXuhBxw4dkh2GrG_z4l5oAqOdJRBCsUyMaM/edit?usp=share_link"",""ตรัง!J107"")+IMPORTRANGE(""https://docs.google.com/spreadsheets/d/1T5rRTzFc79aSIvqnzkZNvwPstq829QYz_xALlO1Z0s8/edi"&amp;"t?usp=share_link"",""นครศรีธรรมราช!J107"")+IMPORTRANGE(""https://docs.google.com/spreadsheets/d/1BeghqumK0IvCmRd2QOy6_afsZq7ZtAGrSnVJy2u7WmY/edit?usp=share_link"",""นราธิวาส!J107"")+IMPORTRANGE(""https://docs.google.com/spreadsheets/d/1IwnW3-jjRf74MCLW-6P"&amp;"iFwMUffRQXZwZA7YM609NmRc/edit?usp=share_link"",""ปัตตานี!J107"")+IMPORTRANGE(""https://docs.google.com/spreadsheets/d/1vl4QWbWdFruual5o_wdo6ZSqXZ_it806oja4CctTLKs/edit?usp=share_link"",""พังงา!J107"")+IMPORTRANGE(""https://docs.google.com/spreadsheets/d/1"&amp;"b6QssHQp2FoAPSMKHOy273KNzAomaIKhtdlvuZ_zDNE/edit?usp=share_link"",""พัทลุง!J107"")+IMPORTRANGE(""https://docs.google.com/spreadsheets/d/1o7UZe4_OqlqtLDHrj01Z2YFRSZDf1DMy1n3XViHaxRc/edit?usp=share_link"",""ภูเก็ต!J107"")+IMPORTRANGE(""https://docs.google.c"&amp;"om/spreadsheets/d/1ctPm1vUzcUCPuOj9-eoHUD85PqINFqUB0TjdSWmR5-c/edit?usp=share_link"",""ยะลา!J107"")+IMPORTRANGE(""https://docs.google.com/spreadsheets/d/1YiDIE7Klmt8osgdapRqYWNr7iPGFSsiJqq46S7PYRE0/edit?usp=share_link"",""ระนอง!J107"")+IMPORTRANGE(""https"&amp;"://docs.google.com/spreadsheets/d/16o_4B-V7AWw_6E93bSpXj_XxVv1oVQctk-B6z1dNEWU/edit?usp=share_link"",""สงขลา!J107"")+IMPORTRANGE(""https://docs.google.com/spreadsheets/d/16cywr71Fj4fA5OGRHsZh30ZG2gwJhMAQv69oVBzYHv0/edit?usp=share_link"",""สตูล!J107"")+IMP"&amp;"ORTRANGE(""https://docs.google.com/spreadsheets/d/1vO9Sws6kMtrVtyvrAJptINXjK8TFBoX9xLYOVK_C8bQ/edit?usp=share_link"",""สุราษฎร์ธานี!J107"")"),11)</f>
        <v>11</v>
      </c>
      <c r="K107" s="38">
        <f t="shared" ca="1" si="73"/>
        <v>100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IFERROR(__xludf.DUMMYFUNCTION("IMPORTRANGE(""https://docs.google.com/spreadsheets/d/1kC41EOXpGBFOW658Fs3oD8beYlym0-zO54WY-2Qnp9I/edit?usp=share_link"",""กระบี่!I109"")
+IMPORTRANGE(""https://docs.google.com/spreadsheets/d/1FbzMZY_f3MDiEuK7RpCQKrilJ_kpX0Wm7QBZ1L7EjIU/edit?usp=share_link"&amp;""",""ชุมพร!I109"")+IMPORTRANGE(""https://docs.google.com/spreadsheets/d/1v5sN-00LrXuhBxw4dkh2GrG_z4l5oAqOdJRBCsUyMaM/edit?usp=share_link"",""ตรัง!I109"")+IMPORTRANGE(""https://docs.google.com/spreadsheets/d/1T5rRTzFc79aSIvqnzkZNvwPstq829QYz_xALlO1Z0s8/edi"&amp;"t?usp=share_link"",""นครศรีธรรมราช!I109"")+IMPORTRANGE(""https://docs.google.com/spreadsheets/d/1BeghqumK0IvCmRd2QOy6_afsZq7ZtAGrSnVJy2u7WmY/edit?usp=share_link"",""นราธิวาส!I109"")+IMPORTRANGE(""https://docs.google.com/spreadsheets/d/1IwnW3-jjRf74MCLW-6P"&amp;"iFwMUffRQXZwZA7YM609NmRc/edit?usp=share_link"",""ปัตตานี!I109"")+IMPORTRANGE(""https://docs.google.com/spreadsheets/d/1vl4QWbWdFruual5o_wdo6ZSqXZ_it806oja4CctTLKs/edit?usp=share_link"",""พังงา!I109"")+IMPORTRANGE(""https://docs.google.com/spreadsheets/d/1"&amp;"b6QssHQp2FoAPSMKHOy273KNzAomaIKhtdlvuZ_zDNE/edit?usp=share_link"",""พัทลุง!I109"")+IMPORTRANGE(""https://docs.google.com/spreadsheets/d/1o7UZe4_OqlqtLDHrj01Z2YFRSZDf1DMy1n3XViHaxRc/edit?usp=share_link"",""ภูเก็ต!I109"")+IMPORTRANGE(""https://docs.google.c"&amp;"om/spreadsheets/d/1ctPm1vUzcUCPuOj9-eoHUD85PqINFqUB0TjdSWmR5-c/edit?usp=share_link"",""ยะลา!I109"")+IMPORTRANGE(""https://docs.google.com/spreadsheets/d/1YiDIE7Klmt8osgdapRqYWNr7iPGFSsiJqq46S7PYRE0/edit?usp=share_link"",""ระนอง!I109"")+IMPORTRANGE(""https"&amp;"://docs.google.com/spreadsheets/d/16o_4B-V7AWw_6E93bSpXj_XxVv1oVQctk-B6z1dNEWU/edit?usp=share_link"",""สงขลา!I109"")+IMPORTRANGE(""https://docs.google.com/spreadsheets/d/16cywr71Fj4fA5OGRHsZh30ZG2gwJhMAQv69oVBzYHv0/edit?usp=share_link"",""สตูล!I109"")+IMP"&amp;"ORTRANGE(""https://docs.google.com/spreadsheets/d/1vO9Sws6kMtrVtyvrAJptINXjK8TFBoX9xLYOVK_C8bQ/edit?usp=share_link"",""สุราษฎร์ธานี!I109"")"),8)</f>
        <v>8</v>
      </c>
      <c r="J109" s="183">
        <f ca="1">IFERROR(__xludf.DUMMYFUNCTION("IMPORTRANGE(""https://docs.google.com/spreadsheets/d/1kC41EOXpGBFOW658Fs3oD8beYlym0-zO54WY-2Qnp9I/edit?usp=share_link"",""กระบี่!J109"")
+IMPORTRANGE(""https://docs.google.com/spreadsheets/d/1FbzMZY_f3MDiEuK7RpCQKrilJ_kpX0Wm7QBZ1L7EjIU/edit?usp=share_link"&amp;""",""ชุมพร!J109"")+IMPORTRANGE(""https://docs.google.com/spreadsheets/d/1v5sN-00LrXuhBxw4dkh2GrG_z4l5oAqOdJRBCsUyMaM/edit?usp=share_link"",""ตรัง!J109"")+IMPORTRANGE(""https://docs.google.com/spreadsheets/d/1T5rRTzFc79aSIvqnzkZNvwPstq829QYz_xALlO1Z0s8/edi"&amp;"t?usp=share_link"",""นครศรีธรรมราช!J109"")+IMPORTRANGE(""https://docs.google.com/spreadsheets/d/1BeghqumK0IvCmRd2QOy6_afsZq7ZtAGrSnVJy2u7WmY/edit?usp=share_link"",""นราธิวาส!J109"")+IMPORTRANGE(""https://docs.google.com/spreadsheets/d/1IwnW3-jjRf74MCLW-6P"&amp;"iFwMUffRQXZwZA7YM609NmRc/edit?usp=share_link"",""ปัตตานี!J109"")+IMPORTRANGE(""https://docs.google.com/spreadsheets/d/1vl4QWbWdFruual5o_wdo6ZSqXZ_it806oja4CctTLKs/edit?usp=share_link"",""พังงา!J109"")+IMPORTRANGE(""https://docs.google.com/spreadsheets/d/1"&amp;"b6QssHQp2FoAPSMKHOy273KNzAomaIKhtdlvuZ_zDNE/edit?usp=share_link"",""พัทลุง!J109"")+IMPORTRANGE(""https://docs.google.com/spreadsheets/d/1o7UZe4_OqlqtLDHrj01Z2YFRSZDf1DMy1n3XViHaxRc/edit?usp=share_link"",""ภูเก็ต!J109"")+IMPORTRANGE(""https://docs.google.c"&amp;"om/spreadsheets/d/1ctPm1vUzcUCPuOj9-eoHUD85PqINFqUB0TjdSWmR5-c/edit?usp=share_link"",""ยะลา!J109"")+IMPORTRANGE(""https://docs.google.com/spreadsheets/d/1YiDIE7Klmt8osgdapRqYWNr7iPGFSsiJqq46S7PYRE0/edit?usp=share_link"",""ระนอง!J109"")+IMPORTRANGE(""https"&amp;"://docs.google.com/spreadsheets/d/16o_4B-V7AWw_6E93bSpXj_XxVv1oVQctk-B6z1dNEWU/edit?usp=share_link"",""สงขลา!J109"")+IMPORTRANGE(""https://docs.google.com/spreadsheets/d/16cywr71Fj4fA5OGRHsZh30ZG2gwJhMAQv69oVBzYHv0/edit?usp=share_link"",""สตูล!J109"")+IMP"&amp;"ORTRANGE(""https://docs.google.com/spreadsheets/d/1vO9Sws6kMtrVtyvrAJptINXjK8TFBoX9xLYOVK_C8bQ/edit?usp=share_link"",""สุราษฎร์ธานี!J109"")"),7)</f>
        <v>7</v>
      </c>
      <c r="K109" s="38">
        <f t="shared" ref="K109:K116" ca="1" si="74">IF(I109&gt;0,J109*100/I109,0)</f>
        <v>87.5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IFERROR(__xludf.DUMMYFUNCTION("IMPORTRANGE(""https://docs.google.com/spreadsheets/d/1kC41EOXpGBFOW658Fs3oD8beYlym0-zO54WY-2Qnp9I/edit?usp=share_link"",""กระบี่!I110"")
+IMPORTRANGE(""https://docs.google.com/spreadsheets/d/1FbzMZY_f3MDiEuK7RpCQKrilJ_kpX0Wm7QBZ1L7EjIU/edit?usp=share_link"&amp;""",""ชุมพร!I110"")+IMPORTRANGE(""https://docs.google.com/spreadsheets/d/1v5sN-00LrXuhBxw4dkh2GrG_z4l5oAqOdJRBCsUyMaM/edit?usp=share_link"",""ตรัง!I110"")+IMPORTRANGE(""https://docs.google.com/spreadsheets/d/1T5rRTzFc79aSIvqnzkZNvwPstq829QYz_xALlO1Z0s8/edi"&amp;"t?usp=share_link"",""นครศรีธรรมราช!I110"")+IMPORTRANGE(""https://docs.google.com/spreadsheets/d/1BeghqumK0IvCmRd2QOy6_afsZq7ZtAGrSnVJy2u7WmY/edit?usp=share_link"",""นราธิวาส!I110"")+IMPORTRANGE(""https://docs.google.com/spreadsheets/d/1IwnW3-jjRf74MCLW-6P"&amp;"iFwMUffRQXZwZA7YM609NmRc/edit?usp=share_link"",""ปัตตานี!I110"")+IMPORTRANGE(""https://docs.google.com/spreadsheets/d/1vl4QWbWdFruual5o_wdo6ZSqXZ_it806oja4CctTLKs/edit?usp=share_link"",""พังงา!I110"")+IMPORTRANGE(""https://docs.google.com/spreadsheets/d/1"&amp;"b6QssHQp2FoAPSMKHOy273KNzAomaIKhtdlvuZ_zDNE/edit?usp=share_link"",""พัทลุง!I110"")+IMPORTRANGE(""https://docs.google.com/spreadsheets/d/1o7UZe4_OqlqtLDHrj01Z2YFRSZDf1DMy1n3XViHaxRc/edit?usp=share_link"",""ภูเก็ต!I110"")+IMPORTRANGE(""https://docs.google.c"&amp;"om/spreadsheets/d/1ctPm1vUzcUCPuOj9-eoHUD85PqINFqUB0TjdSWmR5-c/edit?usp=share_link"",""ยะลา!I110"")+IMPORTRANGE(""https://docs.google.com/spreadsheets/d/1YiDIE7Klmt8osgdapRqYWNr7iPGFSsiJqq46S7PYRE0/edit?usp=share_link"",""ระนอง!I110"")+IMPORTRANGE(""https"&amp;"://docs.google.com/spreadsheets/d/16o_4B-V7AWw_6E93bSpXj_XxVv1oVQctk-B6z1dNEWU/edit?usp=share_link"",""สงขลา!I110"")+IMPORTRANGE(""https://docs.google.com/spreadsheets/d/16cywr71Fj4fA5OGRHsZh30ZG2gwJhMAQv69oVBzYHv0/edit?usp=share_link"",""สตูล!I110"")+IMP"&amp;"ORTRANGE(""https://docs.google.com/spreadsheets/d/1vO9Sws6kMtrVtyvrAJptINXjK8TFBoX9xLYOVK_C8bQ/edit?usp=share_link"",""สุราษฎร์ธานี!I110"")"),8)</f>
        <v>8</v>
      </c>
      <c r="J110" s="183">
        <f ca="1">IFERROR(__xludf.DUMMYFUNCTION("IMPORTRANGE(""https://docs.google.com/spreadsheets/d/1kC41EOXpGBFOW658Fs3oD8beYlym0-zO54WY-2Qnp9I/edit?usp=share_link"",""กระบี่!J110"")
+IMPORTRANGE(""https://docs.google.com/spreadsheets/d/1FbzMZY_f3MDiEuK7RpCQKrilJ_kpX0Wm7QBZ1L7EjIU/edit?usp=share_link"&amp;""",""ชุมพร!J110"")+IMPORTRANGE(""https://docs.google.com/spreadsheets/d/1v5sN-00LrXuhBxw4dkh2GrG_z4l5oAqOdJRBCsUyMaM/edit?usp=share_link"",""ตรัง!J110"")+IMPORTRANGE(""https://docs.google.com/spreadsheets/d/1T5rRTzFc79aSIvqnzkZNvwPstq829QYz_xALlO1Z0s8/edi"&amp;"t?usp=share_link"",""นครศรีธรรมราช!J110"")+IMPORTRANGE(""https://docs.google.com/spreadsheets/d/1BeghqumK0IvCmRd2QOy6_afsZq7ZtAGrSnVJy2u7WmY/edit?usp=share_link"",""นราธิวาส!J110"")+IMPORTRANGE(""https://docs.google.com/spreadsheets/d/1IwnW3-jjRf74MCLW-6P"&amp;"iFwMUffRQXZwZA7YM609NmRc/edit?usp=share_link"",""ปัตตานี!J110"")+IMPORTRANGE(""https://docs.google.com/spreadsheets/d/1vl4QWbWdFruual5o_wdo6ZSqXZ_it806oja4CctTLKs/edit?usp=share_link"",""พังงา!J110"")+IMPORTRANGE(""https://docs.google.com/spreadsheets/d/1"&amp;"b6QssHQp2FoAPSMKHOy273KNzAomaIKhtdlvuZ_zDNE/edit?usp=share_link"",""พัทลุง!J110"")+IMPORTRANGE(""https://docs.google.com/spreadsheets/d/1o7UZe4_OqlqtLDHrj01Z2YFRSZDf1DMy1n3XViHaxRc/edit?usp=share_link"",""ภูเก็ต!J110"")+IMPORTRANGE(""https://docs.google.c"&amp;"om/spreadsheets/d/1ctPm1vUzcUCPuOj9-eoHUD85PqINFqUB0TjdSWmR5-c/edit?usp=share_link"",""ยะลา!J110"")+IMPORTRANGE(""https://docs.google.com/spreadsheets/d/1YiDIE7Klmt8osgdapRqYWNr7iPGFSsiJqq46S7PYRE0/edit?usp=share_link"",""ระนอง!J110"")+IMPORTRANGE(""https"&amp;"://docs.google.com/spreadsheets/d/16o_4B-V7AWw_6E93bSpXj_XxVv1oVQctk-B6z1dNEWU/edit?usp=share_link"",""สงขลา!J110"")+IMPORTRANGE(""https://docs.google.com/spreadsheets/d/16cywr71Fj4fA5OGRHsZh30ZG2gwJhMAQv69oVBzYHv0/edit?usp=share_link"",""สตูล!J110"")+IMP"&amp;"ORTRANGE(""https://docs.google.com/spreadsheets/d/1vO9Sws6kMtrVtyvrAJptINXjK8TFBoX9xLYOVK_C8bQ/edit?usp=share_link"",""สุราษฎร์ธานี!J110"")"),7)</f>
        <v>7</v>
      </c>
      <c r="K110" s="38">
        <f t="shared" ca="1" si="74"/>
        <v>87.5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IFERROR(__xludf.DUMMYFUNCTION("IMPORTRANGE(""https://docs.google.com/spreadsheets/d/1kC41EOXpGBFOW658Fs3oD8beYlym0-zO54WY-2Qnp9I/edit?usp=share_link"",""กระบี่!I111"")
+IMPORTRANGE(""https://docs.google.com/spreadsheets/d/1FbzMZY_f3MDiEuK7RpCQKrilJ_kpX0Wm7QBZ1L7EjIU/edit?usp=share_link"&amp;""",""ชุมพร!I111"")+IMPORTRANGE(""https://docs.google.com/spreadsheets/d/1v5sN-00LrXuhBxw4dkh2GrG_z4l5oAqOdJRBCsUyMaM/edit?usp=share_link"",""ตรัง!I111"")+IMPORTRANGE(""https://docs.google.com/spreadsheets/d/1T5rRTzFc79aSIvqnzkZNvwPstq829QYz_xALlO1Z0s8/edi"&amp;"t?usp=share_link"",""นครศรีธรรมราช!I111"")+IMPORTRANGE(""https://docs.google.com/spreadsheets/d/1BeghqumK0IvCmRd2QOy6_afsZq7ZtAGrSnVJy2u7WmY/edit?usp=share_link"",""นราธิวาส!I111"")+IMPORTRANGE(""https://docs.google.com/spreadsheets/d/1IwnW3-jjRf74MCLW-6P"&amp;"iFwMUffRQXZwZA7YM609NmRc/edit?usp=share_link"",""ปัตตานี!I111"")+IMPORTRANGE(""https://docs.google.com/spreadsheets/d/1vl4QWbWdFruual5o_wdo6ZSqXZ_it806oja4CctTLKs/edit?usp=share_link"",""พังงา!I111"")+IMPORTRANGE(""https://docs.google.com/spreadsheets/d/1"&amp;"b6QssHQp2FoAPSMKHOy273KNzAomaIKhtdlvuZ_zDNE/edit?usp=share_link"",""พัทลุง!I111"")+IMPORTRANGE(""https://docs.google.com/spreadsheets/d/1o7UZe4_OqlqtLDHrj01Z2YFRSZDf1DMy1n3XViHaxRc/edit?usp=share_link"",""ภูเก็ต!I111"")+IMPORTRANGE(""https://docs.google.c"&amp;"om/spreadsheets/d/1ctPm1vUzcUCPuOj9-eoHUD85PqINFqUB0TjdSWmR5-c/edit?usp=share_link"",""ยะลา!I111"")+IMPORTRANGE(""https://docs.google.com/spreadsheets/d/1YiDIE7Klmt8osgdapRqYWNr7iPGFSsiJqq46S7PYRE0/edit?usp=share_link"",""ระนอง!I111"")+IMPORTRANGE(""https"&amp;"://docs.google.com/spreadsheets/d/16o_4B-V7AWw_6E93bSpXj_XxVv1oVQctk-B6z1dNEWU/edit?usp=share_link"",""สงขลา!I111"")+IMPORTRANGE(""https://docs.google.com/spreadsheets/d/16cywr71Fj4fA5OGRHsZh30ZG2gwJhMAQv69oVBzYHv0/edit?usp=share_link"",""สตูล!I111"")+IMP"&amp;"ORTRANGE(""https://docs.google.com/spreadsheets/d/1vO9Sws6kMtrVtyvrAJptINXjK8TFBoX9xLYOVK_C8bQ/edit?usp=share_link"",""สุราษฎร์ธานี!I111"")"),95)</f>
        <v>95</v>
      </c>
      <c r="J111" s="194">
        <f ca="1">J114</f>
        <v>10</v>
      </c>
      <c r="K111" s="195">
        <f t="shared" ca="1" si="74"/>
        <v>10.526315789473685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19</v>
      </c>
      <c r="J112" s="194">
        <f t="shared" ca="1" si="75"/>
        <v>4</v>
      </c>
      <c r="K112" s="195">
        <f t="shared" ca="1" si="74"/>
        <v>21.05263157894737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IFERROR(__xludf.DUMMYFUNCTION("IMPORTRANGE(""https://docs.google.com/spreadsheets/d/1kC41EOXpGBFOW658Fs3oD8beYlym0-zO54WY-2Qnp9I/edit?usp=share_link"",""กระบี่!I113"")
+IMPORTRANGE(""https://docs.google.com/spreadsheets/d/1FbzMZY_f3MDiEuK7RpCQKrilJ_kpX0Wm7QBZ1L7EjIU/edit?usp=share_link"&amp;""",""ชุมพร!I113"")+IMPORTRANGE(""https://docs.google.com/spreadsheets/d/1v5sN-00LrXuhBxw4dkh2GrG_z4l5oAqOdJRBCsUyMaM/edit?usp=share_link"",""ตรัง!I113"")+IMPORTRANGE(""https://docs.google.com/spreadsheets/d/1T5rRTzFc79aSIvqnzkZNvwPstq829QYz_xALlO1Z0s8/edi"&amp;"t?usp=share_link"",""นครศรีธรรมราช!I113"")+IMPORTRANGE(""https://docs.google.com/spreadsheets/d/1BeghqumK0IvCmRd2QOy6_afsZq7ZtAGrSnVJy2u7WmY/edit?usp=share_link"",""นราธิวาส!I113"")+IMPORTRANGE(""https://docs.google.com/spreadsheets/d/1IwnW3-jjRf74MCLW-6P"&amp;"iFwMUffRQXZwZA7YM609NmRc/edit?usp=share_link"",""ปัตตานี!I113"")+IMPORTRANGE(""https://docs.google.com/spreadsheets/d/1vl4QWbWdFruual5o_wdo6ZSqXZ_it806oja4CctTLKs/edit?usp=share_link"",""พังงา!I113"")+IMPORTRANGE(""https://docs.google.com/spreadsheets/d/1"&amp;"b6QssHQp2FoAPSMKHOy273KNzAomaIKhtdlvuZ_zDNE/edit?usp=share_link"",""พัทลุง!I113"")+IMPORTRANGE(""https://docs.google.com/spreadsheets/d/1o7UZe4_OqlqtLDHrj01Z2YFRSZDf1DMy1n3XViHaxRc/edit?usp=share_link"",""ภูเก็ต!I113"")+IMPORTRANGE(""https://docs.google.c"&amp;"om/spreadsheets/d/1ctPm1vUzcUCPuOj9-eoHUD85PqINFqUB0TjdSWmR5-c/edit?usp=share_link"",""ยะลา!I113"")+IMPORTRANGE(""https://docs.google.com/spreadsheets/d/1YiDIE7Klmt8osgdapRqYWNr7iPGFSsiJqq46S7PYRE0/edit?usp=share_link"",""ระนอง!I113"")+IMPORTRANGE(""https"&amp;"://docs.google.com/spreadsheets/d/16o_4B-V7AWw_6E93bSpXj_XxVv1oVQctk-B6z1dNEWU/edit?usp=share_link"",""สงขลา!I113"")+IMPORTRANGE(""https://docs.google.com/spreadsheets/d/16cywr71Fj4fA5OGRHsZh30ZG2gwJhMAQv69oVBzYHv0/edit?usp=share_link"",""สตูล!I113"")+IMP"&amp;"ORTRANGE(""https://docs.google.com/spreadsheets/d/1vO9Sws6kMtrVtyvrAJptINXjK8TFBoX9xLYOVK_C8bQ/edit?usp=share_link"",""สุราษฎร์ธานี!I113"")"),95)</f>
        <v>95</v>
      </c>
      <c r="J113" s="183">
        <f ca="1">IFERROR(__xludf.DUMMYFUNCTION("IMPORTRANGE(""https://docs.google.com/spreadsheets/d/1kC41EOXpGBFOW658Fs3oD8beYlym0-zO54WY-2Qnp9I/edit?usp=share_link"",""กระบี่!J113"")
+IMPORTRANGE(""https://docs.google.com/spreadsheets/d/1FbzMZY_f3MDiEuK7RpCQKrilJ_kpX0Wm7QBZ1L7EjIU/edit?usp=share_link"&amp;""",""ชุมพร!J113"")+IMPORTRANGE(""https://docs.google.com/spreadsheets/d/1v5sN-00LrXuhBxw4dkh2GrG_z4l5oAqOdJRBCsUyMaM/edit?usp=share_link"",""ตรัง!J113"")+IMPORTRANGE(""https://docs.google.com/spreadsheets/d/1T5rRTzFc79aSIvqnzkZNvwPstq829QYz_xALlO1Z0s8/edi"&amp;"t?usp=share_link"",""นครศรีธรรมราช!J113"")+IMPORTRANGE(""https://docs.google.com/spreadsheets/d/1BeghqumK0IvCmRd2QOy6_afsZq7ZtAGrSnVJy2u7WmY/edit?usp=share_link"",""นราธิวาส!J113"")+IMPORTRANGE(""https://docs.google.com/spreadsheets/d/1IwnW3-jjRf74MCLW-6P"&amp;"iFwMUffRQXZwZA7YM609NmRc/edit?usp=share_link"",""ปัตตานี!J113"")+IMPORTRANGE(""https://docs.google.com/spreadsheets/d/1vl4QWbWdFruual5o_wdo6ZSqXZ_it806oja4CctTLKs/edit?usp=share_link"",""พังงา!J113"")+IMPORTRANGE(""https://docs.google.com/spreadsheets/d/1"&amp;"b6QssHQp2FoAPSMKHOy273KNzAomaIKhtdlvuZ_zDNE/edit?usp=share_link"",""พัทลุง!J113"")+IMPORTRANGE(""https://docs.google.com/spreadsheets/d/1o7UZe4_OqlqtLDHrj01Z2YFRSZDf1DMy1n3XViHaxRc/edit?usp=share_link"",""ภูเก็ต!J113"")+IMPORTRANGE(""https://docs.google.c"&amp;"om/spreadsheets/d/1ctPm1vUzcUCPuOj9-eoHUD85PqINFqUB0TjdSWmR5-c/edit?usp=share_link"",""ยะลา!J113"")+IMPORTRANGE(""https://docs.google.com/spreadsheets/d/1YiDIE7Klmt8osgdapRqYWNr7iPGFSsiJqq46S7PYRE0/edit?usp=share_link"",""ระนอง!J113"")+IMPORTRANGE(""https"&amp;"://docs.google.com/spreadsheets/d/16o_4B-V7AWw_6E93bSpXj_XxVv1oVQctk-B6z1dNEWU/edit?usp=share_link"",""สงขลา!J113"")+IMPORTRANGE(""https://docs.google.com/spreadsheets/d/16cywr71Fj4fA5OGRHsZh30ZG2gwJhMAQv69oVBzYHv0/edit?usp=share_link"",""สตูล!J113"")+IMP"&amp;"ORTRANGE(""https://docs.google.com/spreadsheets/d/1vO9Sws6kMtrVtyvrAJptINXjK8TFBoX9xLYOVK_C8bQ/edit?usp=share_link"",""สุราษฎร์ธานี!J113"")"),10)</f>
        <v>10</v>
      </c>
      <c r="K113" s="38">
        <f t="shared" ca="1" si="74"/>
        <v>10.526315789473685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IFERROR(__xludf.DUMMYFUNCTION("IMPORTRANGE(""https://docs.google.com/spreadsheets/d/1kC41EOXpGBFOW658Fs3oD8beYlym0-zO54WY-2Qnp9I/edit?usp=share_link"",""กระบี่!I114"")
+IMPORTRANGE(""https://docs.google.com/spreadsheets/d/1FbzMZY_f3MDiEuK7RpCQKrilJ_kpX0Wm7QBZ1L7EjIU/edit?usp=share_link"&amp;""",""ชุมพร!I114"")+IMPORTRANGE(""https://docs.google.com/spreadsheets/d/1v5sN-00LrXuhBxw4dkh2GrG_z4l5oAqOdJRBCsUyMaM/edit?usp=share_link"",""ตรัง!I114"")+IMPORTRANGE(""https://docs.google.com/spreadsheets/d/1T5rRTzFc79aSIvqnzkZNvwPstq829QYz_xALlO1Z0s8/edi"&amp;"t?usp=share_link"",""นครศรีธรรมราช!I114"")+IMPORTRANGE(""https://docs.google.com/spreadsheets/d/1BeghqumK0IvCmRd2QOy6_afsZq7ZtAGrSnVJy2u7WmY/edit?usp=share_link"",""นราธิวาส!I114"")+IMPORTRANGE(""https://docs.google.com/spreadsheets/d/1IwnW3-jjRf74MCLW-6P"&amp;"iFwMUffRQXZwZA7YM609NmRc/edit?usp=share_link"",""ปัตตานี!I114"")+IMPORTRANGE(""https://docs.google.com/spreadsheets/d/1vl4QWbWdFruual5o_wdo6ZSqXZ_it806oja4CctTLKs/edit?usp=share_link"",""พังงา!I114"")+IMPORTRANGE(""https://docs.google.com/spreadsheets/d/1"&amp;"b6QssHQp2FoAPSMKHOy273KNzAomaIKhtdlvuZ_zDNE/edit?usp=share_link"",""พัทลุง!I114"")+IMPORTRANGE(""https://docs.google.com/spreadsheets/d/1o7UZe4_OqlqtLDHrj01Z2YFRSZDf1DMy1n3XViHaxRc/edit?usp=share_link"",""ภูเก็ต!I114"")+IMPORTRANGE(""https://docs.google.c"&amp;"om/spreadsheets/d/1ctPm1vUzcUCPuOj9-eoHUD85PqINFqUB0TjdSWmR5-c/edit?usp=share_link"",""ยะลา!I114"")+IMPORTRANGE(""https://docs.google.com/spreadsheets/d/1YiDIE7Klmt8osgdapRqYWNr7iPGFSsiJqq46S7PYRE0/edit?usp=share_link"",""ระนอง!I114"")+IMPORTRANGE(""https"&amp;"://docs.google.com/spreadsheets/d/16o_4B-V7AWw_6E93bSpXj_XxVv1oVQctk-B6z1dNEWU/edit?usp=share_link"",""สงขลา!I114"")+IMPORTRANGE(""https://docs.google.com/spreadsheets/d/16cywr71Fj4fA5OGRHsZh30ZG2gwJhMAQv69oVBzYHv0/edit?usp=share_link"",""สตูล!I114"")+IMP"&amp;"ORTRANGE(""https://docs.google.com/spreadsheets/d/1vO9Sws6kMtrVtyvrAJptINXjK8TFBoX9xLYOVK_C8bQ/edit?usp=share_link"",""สุราษฎร์ธานี!I114"")"),95)</f>
        <v>95</v>
      </c>
      <c r="J114" s="183">
        <f ca="1">IFERROR(__xludf.DUMMYFUNCTION("IMPORTRANGE(""https://docs.google.com/spreadsheets/d/1kC41EOXpGBFOW658Fs3oD8beYlym0-zO54WY-2Qnp9I/edit?usp=share_link"",""กระบี่!J114"")
+IMPORTRANGE(""https://docs.google.com/spreadsheets/d/1FbzMZY_f3MDiEuK7RpCQKrilJ_kpX0Wm7QBZ1L7EjIU/edit?usp=share_link"&amp;""",""ชุมพร!J114"")+IMPORTRANGE(""https://docs.google.com/spreadsheets/d/1v5sN-00LrXuhBxw4dkh2GrG_z4l5oAqOdJRBCsUyMaM/edit?usp=share_link"",""ตรัง!J114"")+IMPORTRANGE(""https://docs.google.com/spreadsheets/d/1T5rRTzFc79aSIvqnzkZNvwPstq829QYz_xALlO1Z0s8/edi"&amp;"t?usp=share_link"",""นครศรีธรรมราช!J114"")+IMPORTRANGE(""https://docs.google.com/spreadsheets/d/1BeghqumK0IvCmRd2QOy6_afsZq7ZtAGrSnVJy2u7WmY/edit?usp=share_link"",""นราธิวาส!J114"")+IMPORTRANGE(""https://docs.google.com/spreadsheets/d/1IwnW3-jjRf74MCLW-6P"&amp;"iFwMUffRQXZwZA7YM609NmRc/edit?usp=share_link"",""ปัตตานี!J114"")+IMPORTRANGE(""https://docs.google.com/spreadsheets/d/1vl4QWbWdFruual5o_wdo6ZSqXZ_it806oja4CctTLKs/edit?usp=share_link"",""พังงา!J114"")+IMPORTRANGE(""https://docs.google.com/spreadsheets/d/1"&amp;"b6QssHQp2FoAPSMKHOy273KNzAomaIKhtdlvuZ_zDNE/edit?usp=share_link"",""พัทลุง!J114"")+IMPORTRANGE(""https://docs.google.com/spreadsheets/d/1o7UZe4_OqlqtLDHrj01Z2YFRSZDf1DMy1n3XViHaxRc/edit?usp=share_link"",""ภูเก็ต!J114"")+IMPORTRANGE(""https://docs.google.c"&amp;"om/spreadsheets/d/1ctPm1vUzcUCPuOj9-eoHUD85PqINFqUB0TjdSWmR5-c/edit?usp=share_link"",""ยะลา!J114"")+IMPORTRANGE(""https://docs.google.com/spreadsheets/d/1YiDIE7Klmt8osgdapRqYWNr7iPGFSsiJqq46S7PYRE0/edit?usp=share_link"",""ระนอง!J114"")+IMPORTRANGE(""https"&amp;"://docs.google.com/spreadsheets/d/16o_4B-V7AWw_6E93bSpXj_XxVv1oVQctk-B6z1dNEWU/edit?usp=share_link"",""สงขลา!J114"")+IMPORTRANGE(""https://docs.google.com/spreadsheets/d/16cywr71Fj4fA5OGRHsZh30ZG2gwJhMAQv69oVBzYHv0/edit?usp=share_link"",""สตูล!J114"")+IMP"&amp;"ORTRANGE(""https://docs.google.com/spreadsheets/d/1vO9Sws6kMtrVtyvrAJptINXjK8TFBoX9xLYOVK_C8bQ/edit?usp=share_link"",""สุราษฎร์ธานี!J114"")"),10)</f>
        <v>10</v>
      </c>
      <c r="K114" s="38">
        <f t="shared" ca="1" si="74"/>
        <v>10.526315789473685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IFERROR(__xludf.DUMMYFUNCTION("IMPORTRANGE(""https://docs.google.com/spreadsheets/d/1kC41EOXpGBFOW658Fs3oD8beYlym0-zO54WY-2Qnp9I/edit?usp=share_link"",""กระบี่!I115"")
+IMPORTRANGE(""https://docs.google.com/spreadsheets/d/1FbzMZY_f3MDiEuK7RpCQKrilJ_kpX0Wm7QBZ1L7EjIU/edit?usp=share_link"&amp;""",""ชุมพร!I115"")+IMPORTRANGE(""https://docs.google.com/spreadsheets/d/1v5sN-00LrXuhBxw4dkh2GrG_z4l5oAqOdJRBCsUyMaM/edit?usp=share_link"",""ตรัง!I115"")+IMPORTRANGE(""https://docs.google.com/spreadsheets/d/1T5rRTzFc79aSIvqnzkZNvwPstq829QYz_xALlO1Z0s8/edi"&amp;"t?usp=share_link"",""นครศรีธรรมราช!I115"")+IMPORTRANGE(""https://docs.google.com/spreadsheets/d/1BeghqumK0IvCmRd2QOy6_afsZq7ZtAGrSnVJy2u7WmY/edit?usp=share_link"",""นราธิวาส!I115"")+IMPORTRANGE(""https://docs.google.com/spreadsheets/d/1IwnW3-jjRf74MCLW-6P"&amp;"iFwMUffRQXZwZA7YM609NmRc/edit?usp=share_link"",""ปัตตานี!I115"")+IMPORTRANGE(""https://docs.google.com/spreadsheets/d/1vl4QWbWdFruual5o_wdo6ZSqXZ_it806oja4CctTLKs/edit?usp=share_link"",""พังงา!I115"")+IMPORTRANGE(""https://docs.google.com/spreadsheets/d/1"&amp;"b6QssHQp2FoAPSMKHOy273KNzAomaIKhtdlvuZ_zDNE/edit?usp=share_link"",""พัทลุง!I115"")+IMPORTRANGE(""https://docs.google.com/spreadsheets/d/1o7UZe4_OqlqtLDHrj01Z2YFRSZDf1DMy1n3XViHaxRc/edit?usp=share_link"",""ภูเก็ต!I115"")+IMPORTRANGE(""https://docs.google.c"&amp;"om/spreadsheets/d/1ctPm1vUzcUCPuOj9-eoHUD85PqINFqUB0TjdSWmR5-c/edit?usp=share_link"",""ยะลา!I115"")+IMPORTRANGE(""https://docs.google.com/spreadsheets/d/1YiDIE7Klmt8osgdapRqYWNr7iPGFSsiJqq46S7PYRE0/edit?usp=share_link"",""ระนอง!I115"")+IMPORTRANGE(""https"&amp;"://docs.google.com/spreadsheets/d/16o_4B-V7AWw_6E93bSpXj_XxVv1oVQctk-B6z1dNEWU/edit?usp=share_link"",""สงขลา!I115"")+IMPORTRANGE(""https://docs.google.com/spreadsheets/d/16cywr71Fj4fA5OGRHsZh30ZG2gwJhMAQv69oVBzYHv0/edit?usp=share_link"",""สตูล!I115"")+IMP"&amp;"ORTRANGE(""https://docs.google.com/spreadsheets/d/1vO9Sws6kMtrVtyvrAJptINXjK8TFBoX9xLYOVK_C8bQ/edit?usp=share_link"",""สุราษฎร์ธานี!I115"")"),11)</f>
        <v>11</v>
      </c>
      <c r="J115" s="183">
        <f ca="1">IFERROR(__xludf.DUMMYFUNCTION("IMPORTRANGE(""https://docs.google.com/spreadsheets/d/1kC41EOXpGBFOW658Fs3oD8beYlym0-zO54WY-2Qnp9I/edit?usp=share_link"",""กระบี่!J115"")
+IMPORTRANGE(""https://docs.google.com/spreadsheets/d/1FbzMZY_f3MDiEuK7RpCQKrilJ_kpX0Wm7QBZ1L7EjIU/edit?usp=share_link"&amp;""",""ชุมพร!J115"")+IMPORTRANGE(""https://docs.google.com/spreadsheets/d/1v5sN-00LrXuhBxw4dkh2GrG_z4l5oAqOdJRBCsUyMaM/edit?usp=share_link"",""ตรัง!J115"")+IMPORTRANGE(""https://docs.google.com/spreadsheets/d/1T5rRTzFc79aSIvqnzkZNvwPstq829QYz_xALlO1Z0s8/edi"&amp;"t?usp=share_link"",""นครศรีธรรมราช!J115"")+IMPORTRANGE(""https://docs.google.com/spreadsheets/d/1BeghqumK0IvCmRd2QOy6_afsZq7ZtAGrSnVJy2u7WmY/edit?usp=share_link"",""นราธิวาส!J115"")+IMPORTRANGE(""https://docs.google.com/spreadsheets/d/1IwnW3-jjRf74MCLW-6P"&amp;"iFwMUffRQXZwZA7YM609NmRc/edit?usp=share_link"",""ปัตตานี!J115"")+IMPORTRANGE(""https://docs.google.com/spreadsheets/d/1vl4QWbWdFruual5o_wdo6ZSqXZ_it806oja4CctTLKs/edit?usp=share_link"",""พังงา!J115"")+IMPORTRANGE(""https://docs.google.com/spreadsheets/d/1"&amp;"b6QssHQp2FoAPSMKHOy273KNzAomaIKhtdlvuZ_zDNE/edit?usp=share_link"",""พัทลุง!J115"")+IMPORTRANGE(""https://docs.google.com/spreadsheets/d/1o7UZe4_OqlqtLDHrj01Z2YFRSZDf1DMy1n3XViHaxRc/edit?usp=share_link"",""ภูเก็ต!J115"")+IMPORTRANGE(""https://docs.google.c"&amp;"om/spreadsheets/d/1ctPm1vUzcUCPuOj9-eoHUD85PqINFqUB0TjdSWmR5-c/edit?usp=share_link"",""ยะลา!J115"")+IMPORTRANGE(""https://docs.google.com/spreadsheets/d/1YiDIE7Klmt8osgdapRqYWNr7iPGFSsiJqq46S7PYRE0/edit?usp=share_link"",""ระนอง!J115"")+IMPORTRANGE(""https"&amp;"://docs.google.com/spreadsheets/d/16o_4B-V7AWw_6E93bSpXj_XxVv1oVQctk-B6z1dNEWU/edit?usp=share_link"",""สงขลา!J115"")+IMPORTRANGE(""https://docs.google.com/spreadsheets/d/16cywr71Fj4fA5OGRHsZh30ZG2gwJhMAQv69oVBzYHv0/edit?usp=share_link"",""สตูล!J115"")+IMP"&amp;"ORTRANGE(""https://docs.google.com/spreadsheets/d/1vO9Sws6kMtrVtyvrAJptINXjK8TFBoX9xLYOVK_C8bQ/edit?usp=share_link"",""สุราษฎร์ธานี!J115"")"),3)</f>
        <v>3</v>
      </c>
      <c r="K115" s="38">
        <f t="shared" ca="1" si="74"/>
        <v>27.272727272727273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IFERROR(__xludf.DUMMYFUNCTION("IMPORTRANGE(""https://docs.google.com/spreadsheets/d/1kC41EOXpGBFOW658Fs3oD8beYlym0-zO54WY-2Qnp9I/edit?usp=share_link"",""กระบี่!I116"")
+IMPORTRANGE(""https://docs.google.com/spreadsheets/d/1FbzMZY_f3MDiEuK7RpCQKrilJ_kpX0Wm7QBZ1L7EjIU/edit?usp=share_link"&amp;""",""ชุมพร!I116"")+IMPORTRANGE(""https://docs.google.com/spreadsheets/d/1v5sN-00LrXuhBxw4dkh2GrG_z4l5oAqOdJRBCsUyMaM/edit?usp=share_link"",""ตรัง!I116"")+IMPORTRANGE(""https://docs.google.com/spreadsheets/d/1T5rRTzFc79aSIvqnzkZNvwPstq829QYz_xALlO1Z0s8/edi"&amp;"t?usp=share_link"",""นครศรีธรรมราช!I116"")+IMPORTRANGE(""https://docs.google.com/spreadsheets/d/1BeghqumK0IvCmRd2QOy6_afsZq7ZtAGrSnVJy2u7WmY/edit?usp=share_link"",""นราธิวาส!I116"")+IMPORTRANGE(""https://docs.google.com/spreadsheets/d/1IwnW3-jjRf74MCLW-6P"&amp;"iFwMUffRQXZwZA7YM609NmRc/edit?usp=share_link"",""ปัตตานี!I116"")+IMPORTRANGE(""https://docs.google.com/spreadsheets/d/1vl4QWbWdFruual5o_wdo6ZSqXZ_it806oja4CctTLKs/edit?usp=share_link"",""พังงา!I116"")+IMPORTRANGE(""https://docs.google.com/spreadsheets/d/1"&amp;"b6QssHQp2FoAPSMKHOy273KNzAomaIKhtdlvuZ_zDNE/edit?usp=share_link"",""พัทลุง!I116"")+IMPORTRANGE(""https://docs.google.com/spreadsheets/d/1o7UZe4_OqlqtLDHrj01Z2YFRSZDf1DMy1n3XViHaxRc/edit?usp=share_link"",""ภูเก็ต!I116"")+IMPORTRANGE(""https://docs.google.c"&amp;"om/spreadsheets/d/1ctPm1vUzcUCPuOj9-eoHUD85PqINFqUB0TjdSWmR5-c/edit?usp=share_link"",""ยะลา!I116"")+IMPORTRANGE(""https://docs.google.com/spreadsheets/d/1YiDIE7Klmt8osgdapRqYWNr7iPGFSsiJqq46S7PYRE0/edit?usp=share_link"",""ระนอง!I116"")+IMPORTRANGE(""https"&amp;"://docs.google.com/spreadsheets/d/16o_4B-V7AWw_6E93bSpXj_XxVv1oVQctk-B6z1dNEWU/edit?usp=share_link"",""สงขลา!I116"")+IMPORTRANGE(""https://docs.google.com/spreadsheets/d/16cywr71Fj4fA5OGRHsZh30ZG2gwJhMAQv69oVBzYHv0/edit?usp=share_link"",""สตูล!I116"")+IMP"&amp;"ORTRANGE(""https://docs.google.com/spreadsheets/d/1vO9Sws6kMtrVtyvrAJptINXjK8TFBoX9xLYOVK_C8bQ/edit?usp=share_link"",""สุราษฎร์ธานี!I116"")"),8)</f>
        <v>8</v>
      </c>
      <c r="J116" s="183">
        <f ca="1">IFERROR(__xludf.DUMMYFUNCTION("IMPORTRANGE(""https://docs.google.com/spreadsheets/d/1kC41EOXpGBFOW658Fs3oD8beYlym0-zO54WY-2Qnp9I/edit?usp=share_link"",""กระบี่!J116"")
+IMPORTRANGE(""https://docs.google.com/spreadsheets/d/1FbzMZY_f3MDiEuK7RpCQKrilJ_kpX0Wm7QBZ1L7EjIU/edit?usp=share_link"&amp;""",""ชุมพร!J116"")+IMPORTRANGE(""https://docs.google.com/spreadsheets/d/1v5sN-00LrXuhBxw4dkh2GrG_z4l5oAqOdJRBCsUyMaM/edit?usp=share_link"",""ตรัง!J116"")+IMPORTRANGE(""https://docs.google.com/spreadsheets/d/1T5rRTzFc79aSIvqnzkZNvwPstq829QYz_xALlO1Z0s8/edi"&amp;"t?usp=share_link"",""นครศรีธรรมราช!J116"")+IMPORTRANGE(""https://docs.google.com/spreadsheets/d/1BeghqumK0IvCmRd2QOy6_afsZq7ZtAGrSnVJy2u7WmY/edit?usp=share_link"",""นราธิวาส!J116"")+IMPORTRANGE(""https://docs.google.com/spreadsheets/d/1IwnW3-jjRf74MCLW-6P"&amp;"iFwMUffRQXZwZA7YM609NmRc/edit?usp=share_link"",""ปัตตานี!J116"")+IMPORTRANGE(""https://docs.google.com/spreadsheets/d/1vl4QWbWdFruual5o_wdo6ZSqXZ_it806oja4CctTLKs/edit?usp=share_link"",""พังงา!J116"")+IMPORTRANGE(""https://docs.google.com/spreadsheets/d/1"&amp;"b6QssHQp2FoAPSMKHOy273KNzAomaIKhtdlvuZ_zDNE/edit?usp=share_link"",""พัทลุง!J116"")+IMPORTRANGE(""https://docs.google.com/spreadsheets/d/1o7UZe4_OqlqtLDHrj01Z2YFRSZDf1DMy1n3XViHaxRc/edit?usp=share_link"",""ภูเก็ต!J116"")+IMPORTRANGE(""https://docs.google.c"&amp;"om/spreadsheets/d/1ctPm1vUzcUCPuOj9-eoHUD85PqINFqUB0TjdSWmR5-c/edit?usp=share_link"",""ยะลา!J116"")+IMPORTRANGE(""https://docs.google.com/spreadsheets/d/1YiDIE7Klmt8osgdapRqYWNr7iPGFSsiJqq46S7PYRE0/edit?usp=share_link"",""ระนอง!J116"")+IMPORTRANGE(""https"&amp;"://docs.google.com/spreadsheets/d/16o_4B-V7AWw_6E93bSpXj_XxVv1oVQctk-B6z1dNEWU/edit?usp=share_link"",""สงขลา!J116"")+IMPORTRANGE(""https://docs.google.com/spreadsheets/d/16cywr71Fj4fA5OGRHsZh30ZG2gwJhMAQv69oVBzYHv0/edit?usp=share_link"",""สตูล!J116"")+IMP"&amp;"ORTRANGE(""https://docs.google.com/spreadsheets/d/1vO9Sws6kMtrVtyvrAJptINXjK8TFBoX9xLYOVK_C8bQ/edit?usp=share_link"",""สุราษฎร์ธานี!J116"")"),1)</f>
        <v>1</v>
      </c>
      <c r="K116" s="38">
        <f t="shared" ca="1" si="74"/>
        <v>12.5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IFERROR(__xludf.DUMMYFUNCTION("IMPORTRANGE(""https://docs.google.com/spreadsheets/d/1kC41EOXpGBFOW658Fs3oD8beYlym0-zO54WY-2Qnp9I/edit?usp=share_link"",""กระบี่!I118"")
+IMPORTRANGE(""https://docs.google.com/spreadsheets/d/1FbzMZY_f3MDiEuK7RpCQKrilJ_kpX0Wm7QBZ1L7EjIU/edit?usp=share_link"&amp;""",""ชุมพร!I118"")+IMPORTRANGE(""https://docs.google.com/spreadsheets/d/1v5sN-00LrXuhBxw4dkh2GrG_z4l5oAqOdJRBCsUyMaM/edit?usp=share_link"",""ตรัง!I118"")+IMPORTRANGE(""https://docs.google.com/spreadsheets/d/1T5rRTzFc79aSIvqnzkZNvwPstq829QYz_xALlO1Z0s8/edi"&amp;"t?usp=share_link"",""นครศรีธรรมราช!I118"")+IMPORTRANGE(""https://docs.google.com/spreadsheets/d/1BeghqumK0IvCmRd2QOy6_afsZq7ZtAGrSnVJy2u7WmY/edit?usp=share_link"",""นราธิวาส!I118"")+IMPORTRANGE(""https://docs.google.com/spreadsheets/d/1IwnW3-jjRf74MCLW-6P"&amp;"iFwMUffRQXZwZA7YM609NmRc/edit?usp=share_link"",""ปัตตานี!I118"")+IMPORTRANGE(""https://docs.google.com/spreadsheets/d/1vl4QWbWdFruual5o_wdo6ZSqXZ_it806oja4CctTLKs/edit?usp=share_link"",""พังงา!I118"")+IMPORTRANGE(""https://docs.google.com/spreadsheets/d/1"&amp;"b6QssHQp2FoAPSMKHOy273KNzAomaIKhtdlvuZ_zDNE/edit?usp=share_link"",""พัทลุง!I118"")+IMPORTRANGE(""https://docs.google.com/spreadsheets/d/1o7UZe4_OqlqtLDHrj01Z2YFRSZDf1DMy1n3XViHaxRc/edit?usp=share_link"",""ภูเก็ต!I118"")+IMPORTRANGE(""https://docs.google.c"&amp;"om/spreadsheets/d/1ctPm1vUzcUCPuOj9-eoHUD85PqINFqUB0TjdSWmR5-c/edit?usp=share_link"",""ยะลา!I118"")+IMPORTRANGE(""https://docs.google.com/spreadsheets/d/1YiDIE7Klmt8osgdapRqYWNr7iPGFSsiJqq46S7PYRE0/edit?usp=share_link"",""ระนอง!I118"")+IMPORTRANGE(""https"&amp;"://docs.google.com/spreadsheets/d/16o_4B-V7AWw_6E93bSpXj_XxVv1oVQctk-B6z1dNEWU/edit?usp=share_link"",""สงขลา!I118"")+IMPORTRANGE(""https://docs.google.com/spreadsheets/d/16cywr71Fj4fA5OGRHsZh30ZG2gwJhMAQv69oVBzYHv0/edit?usp=share_link"",""สตูล!I118"")+IMP"&amp;"ORTRANGE(""https://docs.google.com/spreadsheets/d/1vO9Sws6kMtrVtyvrAJptINXjK8TFBoX9xLYOVK_C8bQ/edit?usp=share_link"",""สุราษฎร์ธานี!I118"")"),3)</f>
        <v>3</v>
      </c>
      <c r="J118" s="144">
        <f ca="1">IFERROR(__xludf.DUMMYFUNCTION("IMPORTRANGE(""https://docs.google.com/spreadsheets/d/1kC41EOXpGBFOW658Fs3oD8beYlym0-zO54WY-2Qnp9I/edit?usp=share_link"",""กระบี่!J118"")
+IMPORTRANGE(""https://docs.google.com/spreadsheets/d/1FbzMZY_f3MDiEuK7RpCQKrilJ_kpX0Wm7QBZ1L7EjIU/edit?usp=share_link"&amp;""",""ชุมพร!J118"")+IMPORTRANGE(""https://docs.google.com/spreadsheets/d/1v5sN-00LrXuhBxw4dkh2GrG_z4l5oAqOdJRBCsUyMaM/edit?usp=share_link"",""ตรัง!J118"")+IMPORTRANGE(""https://docs.google.com/spreadsheets/d/1T5rRTzFc79aSIvqnzkZNvwPstq829QYz_xALlO1Z0s8/edi"&amp;"t?usp=share_link"",""นครศรีธรรมราช!J118"")+IMPORTRANGE(""https://docs.google.com/spreadsheets/d/1BeghqumK0IvCmRd2QOy6_afsZq7ZtAGrSnVJy2u7WmY/edit?usp=share_link"",""นราธิวาส!J118"")+IMPORTRANGE(""https://docs.google.com/spreadsheets/d/1IwnW3-jjRf74MCLW-6P"&amp;"iFwMUffRQXZwZA7YM609NmRc/edit?usp=share_link"",""ปัตตานี!J118"")+IMPORTRANGE(""https://docs.google.com/spreadsheets/d/1vl4QWbWdFruual5o_wdo6ZSqXZ_it806oja4CctTLKs/edit?usp=share_link"",""พังงา!J118"")+IMPORTRANGE(""https://docs.google.com/spreadsheets/d/1"&amp;"b6QssHQp2FoAPSMKHOy273KNzAomaIKhtdlvuZ_zDNE/edit?usp=share_link"",""พัทลุง!J118"")+IMPORTRANGE(""https://docs.google.com/spreadsheets/d/1o7UZe4_OqlqtLDHrj01Z2YFRSZDf1DMy1n3XViHaxRc/edit?usp=share_link"",""ภูเก็ต!J118"")+IMPORTRANGE(""https://docs.google.c"&amp;"om/spreadsheets/d/1ctPm1vUzcUCPuOj9-eoHUD85PqINFqUB0TjdSWmR5-c/edit?usp=share_link"",""ยะลา!J118"")+IMPORTRANGE(""https://docs.google.com/spreadsheets/d/1YiDIE7Klmt8osgdapRqYWNr7iPGFSsiJqq46S7PYRE0/edit?usp=share_link"",""ระนอง!J118"")+IMPORTRANGE(""https"&amp;"://docs.google.com/spreadsheets/d/16o_4B-V7AWw_6E93bSpXj_XxVv1oVQctk-B6z1dNEWU/edit?usp=share_link"",""สงขลา!J118"")+IMPORTRANGE(""https://docs.google.com/spreadsheets/d/16cywr71Fj4fA5OGRHsZh30ZG2gwJhMAQv69oVBzYHv0/edit?usp=share_link"",""สตูล!J118"")+IMP"&amp;"ORTRANGE(""https://docs.google.com/spreadsheets/d/1vO9Sws6kMtrVtyvrAJptINXjK8TFBoX9xLYOVK_C8bQ/edit?usp=share_link"",""สุราษฎร์ธานี!J118"")"),3)</f>
        <v>3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42000</v>
      </c>
      <c r="M119" s="155">
        <f t="shared" ca="1" si="76"/>
        <v>42000</v>
      </c>
      <c r="N119" s="155">
        <f t="shared" ca="1" si="76"/>
        <v>42000</v>
      </c>
      <c r="O119" s="155">
        <f t="shared" ref="O119:O127" ca="1" si="77">IF(L119&gt;0,N119*100/L119,0)</f>
        <v>100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42000</v>
      </c>
      <c r="M121" s="45">
        <f t="shared" ca="1" si="80"/>
        <v>42000</v>
      </c>
      <c r="N121" s="45">
        <f t="shared" ca="1" si="80"/>
        <v>42000</v>
      </c>
      <c r="O121" s="45">
        <f t="shared" ca="1" si="77"/>
        <v>100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IFERROR(__xludf.DUMMYFUNCTION("IMPORTRANGE(""https://docs.google.com/spreadsheets/d/1kC41EOXpGBFOW658Fs3oD8beYlym0-zO54WY-2Qnp9I/edit?usp=share_link"",""กระบี่!L124"")
+IMPORTRANGE(""https://docs.google.com/spreadsheets/d/1FbzMZY_f3MDiEuK7RpCQKrilJ_kpX0Wm7QBZ1L7EjIU/edit?usp=share_link"&amp;""",""ชุมพร!L124"")+IMPORTRANGE(""https://docs.google.com/spreadsheets/d/1v5sN-00LrXuhBxw4dkh2GrG_z4l5oAqOdJRBCsUyMaM/edit?usp=share_link"",""ตรัง!L124"")+IMPORTRANGE(""https://docs.google.com/spreadsheets/d/1T5rRTzFc79aSIvqnzkZNvwPstq829QYz_xALlO1Z0s8/edi"&amp;"t?usp=share_link"",""นครศรีธรรมราช!L124"")+IMPORTRANGE(""https://docs.google.com/spreadsheets/d/1BeghqumK0IvCmRd2QOy6_afsZq7ZtAGrSnVJy2u7WmY/edit?usp=share_link"",""นราธิวาส!L124"")+IMPORTRANGE(""https://docs.google.com/spreadsheets/d/1IwnW3-jjRf74MCLW-6P"&amp;"iFwMUffRQXZwZA7YM609NmRc/edit?usp=share_link"",""ปัตตานี!L124"")+IMPORTRANGE(""https://docs.google.com/spreadsheets/d/1vl4QWbWdFruual5o_wdo6ZSqXZ_it806oja4CctTLKs/edit?usp=share_link"",""พังงา!L124"")+IMPORTRANGE(""https://docs.google.com/spreadsheets/d/1"&amp;"b6QssHQp2FoAPSMKHOy273KNzAomaIKhtdlvuZ_zDNE/edit?usp=share_link"",""พัทลุง!L124"")+IMPORTRANGE(""https://docs.google.com/spreadsheets/d/1o7UZe4_OqlqtLDHrj01Z2YFRSZDf1DMy1n3XViHaxRc/edit?usp=share_link"",""ภูเก็ต!L124"")+IMPORTRANGE(""https://docs.google.c"&amp;"om/spreadsheets/d/1ctPm1vUzcUCPuOj9-eoHUD85PqINFqUB0TjdSWmR5-c/edit?usp=share_link"",""ยะลา!L124"")+IMPORTRANGE(""https://docs.google.com/spreadsheets/d/1YiDIE7Klmt8osgdapRqYWNr7iPGFSsiJqq46S7PYRE0/edit?usp=share_link"",""ระนอง!L124"")+IMPORTRANGE(""https"&amp;"://docs.google.com/spreadsheets/d/16o_4B-V7AWw_6E93bSpXj_XxVv1oVQctk-B6z1dNEWU/edit?usp=share_link"",""สงขลา!L124"")+IMPORTRANGE(""https://docs.google.com/spreadsheets/d/16cywr71Fj4fA5OGRHsZh30ZG2gwJhMAQv69oVBzYHv0/edit?usp=share_link"",""สตูล!L124"")+IMP"&amp;"ORTRANGE(""https://docs.google.com/spreadsheets/d/1vO9Sws6kMtrVtyvrAJptINXjK8TFBoX9xLYOVK_C8bQ/edit?usp=share_link"",""สุราษฎร์ธานี!L124"")"),0)</f>
        <v>0</v>
      </c>
      <c r="M124" s="45">
        <f ca="1">IFERROR(__xludf.DUMMYFUNCTION("IMPORTRANGE(""https://docs.google.com/spreadsheets/d/1kC41EOXpGBFOW658Fs3oD8beYlym0-zO54WY-2Qnp9I/edit?usp=share_link"",""กระบี่!M124"")
+IMPORTRANGE(""https://docs.google.com/spreadsheets/d/1FbzMZY_f3MDiEuK7RpCQKrilJ_kpX0Wm7QBZ1L7EjIU/edit?usp=share_link"&amp;""",""ชุมพร!M124"")+IMPORTRANGE(""https://docs.google.com/spreadsheets/d/1v5sN-00LrXuhBxw4dkh2GrG_z4l5oAqOdJRBCsUyMaM/edit?usp=share_link"",""ตรัง!M124"")+IMPORTRANGE(""https://docs.google.com/spreadsheets/d/1T5rRTzFc79aSIvqnzkZNvwPstq829QYz_xALlO1Z0s8/edi"&amp;"t?usp=share_link"",""นครศรีธรรมราช!M124"")+IMPORTRANGE(""https://docs.google.com/spreadsheets/d/1BeghqumK0IvCmRd2QOy6_afsZq7ZtAGrSnVJy2u7WmY/edit?usp=share_link"",""นราธิวาส!M124"")+IMPORTRANGE(""https://docs.google.com/spreadsheets/d/1IwnW3-jjRf74MCLW-6P"&amp;"iFwMUffRQXZwZA7YM609NmRc/edit?usp=share_link"",""ปัตตานี!M124"")+IMPORTRANGE(""https://docs.google.com/spreadsheets/d/1vl4QWbWdFruual5o_wdo6ZSqXZ_it806oja4CctTLKs/edit?usp=share_link"",""พังงา!M124"")+IMPORTRANGE(""https://docs.google.com/spreadsheets/d/1"&amp;"b6QssHQp2FoAPSMKHOy273KNzAomaIKhtdlvuZ_zDNE/edit?usp=share_link"",""พัทลุง!M124"")+IMPORTRANGE(""https://docs.google.com/spreadsheets/d/1o7UZe4_OqlqtLDHrj01Z2YFRSZDf1DMy1n3XViHaxRc/edit?usp=share_link"",""ภูเก็ต!M124"")+IMPORTRANGE(""https://docs.google.c"&amp;"om/spreadsheets/d/1ctPm1vUzcUCPuOj9-eoHUD85PqINFqUB0TjdSWmR5-c/edit?usp=share_link"",""ยะลา!M124"")+IMPORTRANGE(""https://docs.google.com/spreadsheets/d/1YiDIE7Klmt8osgdapRqYWNr7iPGFSsiJqq46S7PYRE0/edit?usp=share_link"",""ระนอง!M124"")+IMPORTRANGE(""https"&amp;"://docs.google.com/spreadsheets/d/16o_4B-V7AWw_6E93bSpXj_XxVv1oVQctk-B6z1dNEWU/edit?usp=share_link"",""สงขลา!M124"")+IMPORTRANGE(""https://docs.google.com/spreadsheets/d/16cywr71Fj4fA5OGRHsZh30ZG2gwJhMAQv69oVBzYHv0/edit?usp=share_link"",""สตูล!M124"")+IMP"&amp;"ORTRANGE(""https://docs.google.com/spreadsheets/d/1vO9Sws6kMtrVtyvrAJptINXjK8TFBoX9xLYOVK_C8bQ/edit?usp=share_link"",""สุราษฎร์ธานี!M124"")"),0)</f>
        <v>0</v>
      </c>
      <c r="N124" s="45">
        <f ca="1">IFERROR(__xludf.DUMMYFUNCTION("IMPORTRANGE(""https://docs.google.com/spreadsheets/d/1kC41EOXpGBFOW658Fs3oD8beYlym0-zO54WY-2Qnp9I/edit?usp=share_link"",""กระบี่!N124"")
+IMPORTRANGE(""https://docs.google.com/spreadsheets/d/1FbzMZY_f3MDiEuK7RpCQKrilJ_kpX0Wm7QBZ1L7EjIU/edit?usp=share_link"&amp;""",""ชุมพร!N124"")+IMPORTRANGE(""https://docs.google.com/spreadsheets/d/1v5sN-00LrXuhBxw4dkh2GrG_z4l5oAqOdJRBCsUyMaM/edit?usp=share_link"",""ตรัง!N124"")+IMPORTRANGE(""https://docs.google.com/spreadsheets/d/1T5rRTzFc79aSIvqnzkZNvwPstq829QYz_xALlO1Z0s8/edi"&amp;"t?usp=share_link"",""นครศรีธรรมราช!N124"")+IMPORTRANGE(""https://docs.google.com/spreadsheets/d/1BeghqumK0IvCmRd2QOy6_afsZq7ZtAGrSnVJy2u7WmY/edit?usp=share_link"",""นราธิวาส!N124"")+IMPORTRANGE(""https://docs.google.com/spreadsheets/d/1IwnW3-jjRf74MCLW-6P"&amp;"iFwMUffRQXZwZA7YM609NmRc/edit?usp=share_link"",""ปัตตานี!N124"")+IMPORTRANGE(""https://docs.google.com/spreadsheets/d/1vl4QWbWdFruual5o_wdo6ZSqXZ_it806oja4CctTLKs/edit?usp=share_link"",""พังงา!N124"")+IMPORTRANGE(""https://docs.google.com/spreadsheets/d/1"&amp;"b6QssHQp2FoAPSMKHOy273KNzAomaIKhtdlvuZ_zDNE/edit?usp=share_link"",""พัทลุง!N124"")+IMPORTRANGE(""https://docs.google.com/spreadsheets/d/1o7UZe4_OqlqtLDHrj01Z2YFRSZDf1DMy1n3XViHaxRc/edit?usp=share_link"",""ภูเก็ต!N124"")+IMPORTRANGE(""https://docs.google.c"&amp;"om/spreadsheets/d/1ctPm1vUzcUCPuOj9-eoHUD85PqINFqUB0TjdSWmR5-c/edit?usp=share_link"",""ยะลา!N124"")+IMPORTRANGE(""https://docs.google.com/spreadsheets/d/1YiDIE7Klmt8osgdapRqYWNr7iPGFSsiJqq46S7PYRE0/edit?usp=share_link"",""ระนอง!N124"")+IMPORTRANGE(""https"&amp;"://docs.google.com/spreadsheets/d/16o_4B-V7AWw_6E93bSpXj_XxVv1oVQctk-B6z1dNEWU/edit?usp=share_link"",""สงขลา!N124"")+IMPORTRANGE(""https://docs.google.com/spreadsheets/d/16cywr71Fj4fA5OGRHsZh30ZG2gwJhMAQv69oVBzYHv0/edit?usp=share_link"",""สตูล!N124"")+IMP"&amp;"ORTRANGE(""https://docs.google.com/spreadsheets/d/1vO9Sws6kMtrVtyvrAJptINXjK8TFBoX9xLYOVK_C8bQ/edit?usp=share_link"",""สุราษฎร์ธานี!N124"")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42000</v>
      </c>
      <c r="M125" s="38">
        <f t="shared" ca="1" si="82"/>
        <v>42000</v>
      </c>
      <c r="N125" s="38">
        <f t="shared" ca="1" si="82"/>
        <v>42000</v>
      </c>
      <c r="O125" s="38">
        <f t="shared" ca="1" si="77"/>
        <v>100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IFERROR(__xludf.DUMMYFUNCTION("IMPORTRANGE(""https://docs.google.com/spreadsheets/d/1kC41EOXpGBFOW658Fs3oD8beYlym0-zO54WY-2Qnp9I/edit?usp=share_link"",""กระบี่!L127"")
+IMPORTRANGE(""https://docs.google.com/spreadsheets/d/1FbzMZY_f3MDiEuK7RpCQKrilJ_kpX0Wm7QBZ1L7EjIU/edit?usp=share_link"&amp;""",""ชุมพร!L127"")+IMPORTRANGE(""https://docs.google.com/spreadsheets/d/1v5sN-00LrXuhBxw4dkh2GrG_z4l5oAqOdJRBCsUyMaM/edit?usp=share_link"",""ตรัง!L127"")+IMPORTRANGE(""https://docs.google.com/spreadsheets/d/1T5rRTzFc79aSIvqnzkZNvwPstq829QYz_xALlO1Z0s8/edi"&amp;"t?usp=share_link"",""นครศรีธรรมราช!L127"")+IMPORTRANGE(""https://docs.google.com/spreadsheets/d/1BeghqumK0IvCmRd2QOy6_afsZq7ZtAGrSnVJy2u7WmY/edit?usp=share_link"",""นราธิวาส!L127"")+IMPORTRANGE(""https://docs.google.com/spreadsheets/d/1IwnW3-jjRf74MCLW-6P"&amp;"iFwMUffRQXZwZA7YM609NmRc/edit?usp=share_link"",""ปัตตานี!L127"")+IMPORTRANGE(""https://docs.google.com/spreadsheets/d/1vl4QWbWdFruual5o_wdo6ZSqXZ_it806oja4CctTLKs/edit?usp=share_link"",""พังงา!L127"")+IMPORTRANGE(""https://docs.google.com/spreadsheets/d/1"&amp;"b6QssHQp2FoAPSMKHOy273KNzAomaIKhtdlvuZ_zDNE/edit?usp=share_link"",""พัทลุง!L127"")+IMPORTRANGE(""https://docs.google.com/spreadsheets/d/1o7UZe4_OqlqtLDHrj01Z2YFRSZDf1DMy1n3XViHaxRc/edit?usp=share_link"",""ภูเก็ต!L127"")+IMPORTRANGE(""https://docs.google.c"&amp;"om/spreadsheets/d/1ctPm1vUzcUCPuOj9-eoHUD85PqINFqUB0TjdSWmR5-c/edit?usp=share_link"",""ยะลา!L127"")+IMPORTRANGE(""https://docs.google.com/spreadsheets/d/1YiDIE7Klmt8osgdapRqYWNr7iPGFSsiJqq46S7PYRE0/edit?usp=share_link"",""ระนอง!L127"")+IMPORTRANGE(""https"&amp;"://docs.google.com/spreadsheets/d/16o_4B-V7AWw_6E93bSpXj_XxVv1oVQctk-B6z1dNEWU/edit?usp=share_link"",""สงขลา!L127"")+IMPORTRANGE(""https://docs.google.com/spreadsheets/d/16cywr71Fj4fA5OGRHsZh30ZG2gwJhMAQv69oVBzYHv0/edit?usp=share_link"",""สตูล!L127"")+IMP"&amp;"ORTRANGE(""https://docs.google.com/spreadsheets/d/1vO9Sws6kMtrVtyvrAJptINXjK8TFBoX9xLYOVK_C8bQ/edit?usp=share_link"",""สุราษฎร์ธานี!L127"")"),42000)</f>
        <v>42000</v>
      </c>
      <c r="M127" s="45">
        <f ca="1">IFERROR(__xludf.DUMMYFUNCTION("IMPORTRANGE(""https://docs.google.com/spreadsheets/d/1kC41EOXpGBFOW658Fs3oD8beYlym0-zO54WY-2Qnp9I/edit?usp=share_link"",""กระบี่!M127"")
+IMPORTRANGE(""https://docs.google.com/spreadsheets/d/1FbzMZY_f3MDiEuK7RpCQKrilJ_kpX0Wm7QBZ1L7EjIU/edit?usp=share_link"&amp;""",""ชุมพร!M127"")+IMPORTRANGE(""https://docs.google.com/spreadsheets/d/1v5sN-00LrXuhBxw4dkh2GrG_z4l5oAqOdJRBCsUyMaM/edit?usp=share_link"",""ตรัง!M127"")+IMPORTRANGE(""https://docs.google.com/spreadsheets/d/1T5rRTzFc79aSIvqnzkZNvwPstq829QYz_xALlO1Z0s8/edi"&amp;"t?usp=share_link"",""นครศรีธรรมราช!M127"")+IMPORTRANGE(""https://docs.google.com/spreadsheets/d/1BeghqumK0IvCmRd2QOy6_afsZq7ZtAGrSnVJy2u7WmY/edit?usp=share_link"",""นราธิวาส!M127"")+IMPORTRANGE(""https://docs.google.com/spreadsheets/d/1IwnW3-jjRf74MCLW-6P"&amp;"iFwMUffRQXZwZA7YM609NmRc/edit?usp=share_link"",""ปัตตานี!M127"")+IMPORTRANGE(""https://docs.google.com/spreadsheets/d/1vl4QWbWdFruual5o_wdo6ZSqXZ_it806oja4CctTLKs/edit?usp=share_link"",""พังงา!M127"")+IMPORTRANGE(""https://docs.google.com/spreadsheets/d/1"&amp;"b6QssHQp2FoAPSMKHOy273KNzAomaIKhtdlvuZ_zDNE/edit?usp=share_link"",""พัทลุง!M127"")+IMPORTRANGE(""https://docs.google.com/spreadsheets/d/1o7UZe4_OqlqtLDHrj01Z2YFRSZDf1DMy1n3XViHaxRc/edit?usp=share_link"",""ภูเก็ต!M127"")+IMPORTRANGE(""https://docs.google.c"&amp;"om/spreadsheets/d/1ctPm1vUzcUCPuOj9-eoHUD85PqINFqUB0TjdSWmR5-c/edit?usp=share_link"",""ยะลา!M127"")+IMPORTRANGE(""https://docs.google.com/spreadsheets/d/1YiDIE7Klmt8osgdapRqYWNr7iPGFSsiJqq46S7PYRE0/edit?usp=share_link"",""ระนอง!M127"")+IMPORTRANGE(""https"&amp;"://docs.google.com/spreadsheets/d/16o_4B-V7AWw_6E93bSpXj_XxVv1oVQctk-B6z1dNEWU/edit?usp=share_link"",""สงขลา!M127"")+IMPORTRANGE(""https://docs.google.com/spreadsheets/d/16cywr71Fj4fA5OGRHsZh30ZG2gwJhMAQv69oVBzYHv0/edit?usp=share_link"",""สตูล!M127"")+IMP"&amp;"ORTRANGE(""https://docs.google.com/spreadsheets/d/1vO9Sws6kMtrVtyvrAJptINXjK8TFBoX9xLYOVK_C8bQ/edit?usp=share_link"",""สุราษฎร์ธานี!M127"")"),42000)</f>
        <v>42000</v>
      </c>
      <c r="N127" s="45">
        <f ca="1">IFERROR(__xludf.DUMMYFUNCTION("IMPORTRANGE(""https://docs.google.com/spreadsheets/d/1kC41EOXpGBFOW658Fs3oD8beYlym0-zO54WY-2Qnp9I/edit?usp=share_link"",""กระบี่!N127"")
+IMPORTRANGE(""https://docs.google.com/spreadsheets/d/1FbzMZY_f3MDiEuK7RpCQKrilJ_kpX0Wm7QBZ1L7EjIU/edit?usp=share_link"&amp;""",""ชุมพร!N127"")+IMPORTRANGE(""https://docs.google.com/spreadsheets/d/1v5sN-00LrXuhBxw4dkh2GrG_z4l5oAqOdJRBCsUyMaM/edit?usp=share_link"",""ตรัง!N127"")+IMPORTRANGE(""https://docs.google.com/spreadsheets/d/1T5rRTzFc79aSIvqnzkZNvwPstq829QYz_xALlO1Z0s8/edi"&amp;"t?usp=share_link"",""นครศรีธรรมราช!N127"")+IMPORTRANGE(""https://docs.google.com/spreadsheets/d/1BeghqumK0IvCmRd2QOy6_afsZq7ZtAGrSnVJy2u7WmY/edit?usp=share_link"",""นราธิวาส!N127"")+IMPORTRANGE(""https://docs.google.com/spreadsheets/d/1IwnW3-jjRf74MCLW-6P"&amp;"iFwMUffRQXZwZA7YM609NmRc/edit?usp=share_link"",""ปัตตานี!N127"")+IMPORTRANGE(""https://docs.google.com/spreadsheets/d/1vl4QWbWdFruual5o_wdo6ZSqXZ_it806oja4CctTLKs/edit?usp=share_link"",""พังงา!N127"")+IMPORTRANGE(""https://docs.google.com/spreadsheets/d/1"&amp;"b6QssHQp2FoAPSMKHOy273KNzAomaIKhtdlvuZ_zDNE/edit?usp=share_link"",""พัทลุง!N127"")+IMPORTRANGE(""https://docs.google.com/spreadsheets/d/1o7UZe4_OqlqtLDHrj01Z2YFRSZDf1DMy1n3XViHaxRc/edit?usp=share_link"",""ภูเก็ต!N127"")+IMPORTRANGE(""https://docs.google.c"&amp;"om/spreadsheets/d/1ctPm1vUzcUCPuOj9-eoHUD85PqINFqUB0TjdSWmR5-c/edit?usp=share_link"",""ยะลา!N127"")+IMPORTRANGE(""https://docs.google.com/spreadsheets/d/1YiDIE7Klmt8osgdapRqYWNr7iPGFSsiJqq46S7PYRE0/edit?usp=share_link"",""ระนอง!N127"")+IMPORTRANGE(""https"&amp;"://docs.google.com/spreadsheets/d/16o_4B-V7AWw_6E93bSpXj_XxVv1oVQctk-B6z1dNEWU/edit?usp=share_link"",""สงขลา!N127"")+IMPORTRANGE(""https://docs.google.com/spreadsheets/d/16cywr71Fj4fA5OGRHsZh30ZG2gwJhMAQv69oVBzYHv0/edit?usp=share_link"",""สตูล!N127"")+IMP"&amp;"ORTRANGE(""https://docs.google.com/spreadsheets/d/1vO9Sws6kMtrVtyvrAJptINXjK8TFBoX9xLYOVK_C8bQ/edit?usp=share_link"",""สุราษฎร์ธานี!N127"")"),42000)</f>
        <v>42000</v>
      </c>
      <c r="O127" s="45">
        <f t="shared" ca="1" si="77"/>
        <v>100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9</v>
      </c>
      <c r="J130" s="144">
        <f t="shared" ca="1" si="83"/>
        <v>6</v>
      </c>
      <c r="K130" s="145">
        <f t="shared" ref="K130:K131" ca="1" si="84">IF(I130&gt;0,J130*100/I130,0)</f>
        <v>66.666666666666671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90</v>
      </c>
      <c r="J131" s="144">
        <f t="shared" ca="1" si="85"/>
        <v>90</v>
      </c>
      <c r="K131" s="145">
        <f t="shared" ca="1" si="84"/>
        <v>100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2365095</v>
      </c>
      <c r="M132" s="155">
        <f t="shared" ca="1" si="86"/>
        <v>2359095</v>
      </c>
      <c r="N132" s="155">
        <f t="shared" ca="1" si="86"/>
        <v>1941845.1400000001</v>
      </c>
      <c r="O132" s="155">
        <f t="shared" ref="O132:O140" ca="1" si="87">IF(L132&gt;0,N132*100/L132,0)</f>
        <v>82.104318853999516</v>
      </c>
      <c r="P132" s="155">
        <f t="shared" ref="P132:P140" ca="1" si="88">IF(M132&gt;0,N132*100/M132,0)</f>
        <v>82.313138724807601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2365095</v>
      </c>
      <c r="M134" s="45">
        <f t="shared" ca="1" si="90"/>
        <v>2359095</v>
      </c>
      <c r="N134" s="45">
        <f t="shared" ca="1" si="90"/>
        <v>1941845.1400000001</v>
      </c>
      <c r="O134" s="45">
        <f t="shared" ca="1" si="87"/>
        <v>82.104318853999516</v>
      </c>
      <c r="P134" s="45">
        <f t="shared" ca="1" si="88"/>
        <v>82.313138724807601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1438095</v>
      </c>
      <c r="M135" s="38">
        <f t="shared" ca="1" si="91"/>
        <v>1438095</v>
      </c>
      <c r="N135" s="38">
        <f t="shared" ca="1" si="91"/>
        <v>1020845.14</v>
      </c>
      <c r="O135" s="38">
        <f t="shared" ca="1" si="87"/>
        <v>70.985932083763586</v>
      </c>
      <c r="P135" s="38">
        <f t="shared" ca="1" si="88"/>
        <v>70.985932083763586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IFERROR(__xludf.DUMMYFUNCTION("IMPORTRANGE(""https://docs.google.com/spreadsheets/d/1kC41EOXpGBFOW658Fs3oD8beYlym0-zO54WY-2Qnp9I/edit?usp=share_link"",""กระบี่!L137"")
+IMPORTRANGE(""https://docs.google.com/spreadsheets/d/1FbzMZY_f3MDiEuK7RpCQKrilJ_kpX0Wm7QBZ1L7EjIU/edit?usp=share_link"&amp;""",""ชุมพร!L137"")+IMPORTRANGE(""https://docs.google.com/spreadsheets/d/1v5sN-00LrXuhBxw4dkh2GrG_z4l5oAqOdJRBCsUyMaM/edit?usp=share_link"",""ตรัง!L137"")+IMPORTRANGE(""https://docs.google.com/spreadsheets/d/1T5rRTzFc79aSIvqnzkZNvwPstq829QYz_xALlO1Z0s8/edi"&amp;"t?usp=share_link"",""นครศรีธรรมราช!L137"")+IMPORTRANGE(""https://docs.google.com/spreadsheets/d/1BeghqumK0IvCmRd2QOy6_afsZq7ZtAGrSnVJy2u7WmY/edit?usp=share_link"",""นราธิวาส!L137"")+IMPORTRANGE(""https://docs.google.com/spreadsheets/d/1IwnW3-jjRf74MCLW-6P"&amp;"iFwMUffRQXZwZA7YM609NmRc/edit?usp=share_link"",""ปัตตานี!L137"")+IMPORTRANGE(""https://docs.google.com/spreadsheets/d/1vl4QWbWdFruual5o_wdo6ZSqXZ_it806oja4CctTLKs/edit?usp=share_link"",""พังงา!L137"")+IMPORTRANGE(""https://docs.google.com/spreadsheets/d/1"&amp;"b6QssHQp2FoAPSMKHOy273KNzAomaIKhtdlvuZ_zDNE/edit?usp=share_link"",""พัทลุง!L137"")+IMPORTRANGE(""https://docs.google.com/spreadsheets/d/1o7UZe4_OqlqtLDHrj01Z2YFRSZDf1DMy1n3XViHaxRc/edit?usp=share_link"",""ภูเก็ต!L137"")+IMPORTRANGE(""https://docs.google.c"&amp;"om/spreadsheets/d/1ctPm1vUzcUCPuOj9-eoHUD85PqINFqUB0TjdSWmR5-c/edit?usp=share_link"",""ยะลา!L137"")+IMPORTRANGE(""https://docs.google.com/spreadsheets/d/1YiDIE7Klmt8osgdapRqYWNr7iPGFSsiJqq46S7PYRE0/edit?usp=share_link"",""ระนอง!L137"")+IMPORTRANGE(""https"&amp;"://docs.google.com/spreadsheets/d/16o_4B-V7AWw_6E93bSpXj_XxVv1oVQctk-B6z1dNEWU/edit?usp=share_link"",""สงขลา!L137"")+IMPORTRANGE(""https://docs.google.com/spreadsheets/d/16cywr71Fj4fA5OGRHsZh30ZG2gwJhMAQv69oVBzYHv0/edit?usp=share_link"",""สตูล!L137"")+IMP"&amp;"ORTRANGE(""https://docs.google.com/spreadsheets/d/1vO9Sws6kMtrVtyvrAJptINXjK8TFBoX9xLYOVK_C8bQ/edit?usp=share_link"",""สุราษฎร์ธานี!L137"")"),1438095)</f>
        <v>1438095</v>
      </c>
      <c r="M137" s="45">
        <f ca="1">IFERROR(__xludf.DUMMYFUNCTION("IMPORTRANGE(""https://docs.google.com/spreadsheets/d/1kC41EOXpGBFOW658Fs3oD8beYlym0-zO54WY-2Qnp9I/edit?usp=share_link"",""กระบี่!M137"")
+IMPORTRANGE(""https://docs.google.com/spreadsheets/d/1FbzMZY_f3MDiEuK7RpCQKrilJ_kpX0Wm7QBZ1L7EjIU/edit?usp=share_link"&amp;""",""ชุมพร!M137"")+IMPORTRANGE(""https://docs.google.com/spreadsheets/d/1v5sN-00LrXuhBxw4dkh2GrG_z4l5oAqOdJRBCsUyMaM/edit?usp=share_link"",""ตรัง!M137"")+IMPORTRANGE(""https://docs.google.com/spreadsheets/d/1T5rRTzFc79aSIvqnzkZNvwPstq829QYz_xALlO1Z0s8/edi"&amp;"t?usp=share_link"",""นครศรีธรรมราช!M137"")+IMPORTRANGE(""https://docs.google.com/spreadsheets/d/1BeghqumK0IvCmRd2QOy6_afsZq7ZtAGrSnVJy2u7WmY/edit?usp=share_link"",""นราธิวาส!M137"")+IMPORTRANGE(""https://docs.google.com/spreadsheets/d/1IwnW3-jjRf74MCLW-6P"&amp;"iFwMUffRQXZwZA7YM609NmRc/edit?usp=share_link"",""ปัตตานี!M137"")+IMPORTRANGE(""https://docs.google.com/spreadsheets/d/1vl4QWbWdFruual5o_wdo6ZSqXZ_it806oja4CctTLKs/edit?usp=share_link"",""พังงา!M137"")+IMPORTRANGE(""https://docs.google.com/spreadsheets/d/1"&amp;"b6QssHQp2FoAPSMKHOy273KNzAomaIKhtdlvuZ_zDNE/edit?usp=share_link"",""พัทลุง!M137"")+IMPORTRANGE(""https://docs.google.com/spreadsheets/d/1o7UZe4_OqlqtLDHrj01Z2YFRSZDf1DMy1n3XViHaxRc/edit?usp=share_link"",""ภูเก็ต!M137"")+IMPORTRANGE(""https://docs.google.c"&amp;"om/spreadsheets/d/1ctPm1vUzcUCPuOj9-eoHUD85PqINFqUB0TjdSWmR5-c/edit?usp=share_link"",""ยะลา!M137"")+IMPORTRANGE(""https://docs.google.com/spreadsheets/d/1YiDIE7Klmt8osgdapRqYWNr7iPGFSsiJqq46S7PYRE0/edit?usp=share_link"",""ระนอง!M137"")+IMPORTRANGE(""https"&amp;"://docs.google.com/spreadsheets/d/16o_4B-V7AWw_6E93bSpXj_XxVv1oVQctk-B6z1dNEWU/edit?usp=share_link"",""สงขลา!M137"")+IMPORTRANGE(""https://docs.google.com/spreadsheets/d/16cywr71Fj4fA5OGRHsZh30ZG2gwJhMAQv69oVBzYHv0/edit?usp=share_link"",""สตูล!M137"")+IMP"&amp;"ORTRANGE(""https://docs.google.com/spreadsheets/d/1vO9Sws6kMtrVtyvrAJptINXjK8TFBoX9xLYOVK_C8bQ/edit?usp=share_link"",""สุราษฎร์ธานี!M137"")"),1438095)</f>
        <v>1438095</v>
      </c>
      <c r="N137" s="45">
        <f ca="1">IFERROR(__xludf.DUMMYFUNCTION("IMPORTRANGE(""https://docs.google.com/spreadsheets/d/1kC41EOXpGBFOW658Fs3oD8beYlym0-zO54WY-2Qnp9I/edit?usp=share_link"",""กระบี่!N137"")
+IMPORTRANGE(""https://docs.google.com/spreadsheets/d/1FbzMZY_f3MDiEuK7RpCQKrilJ_kpX0Wm7QBZ1L7EjIU/edit?usp=share_link"&amp;""",""ชุมพร!N137"")+IMPORTRANGE(""https://docs.google.com/spreadsheets/d/1v5sN-00LrXuhBxw4dkh2GrG_z4l5oAqOdJRBCsUyMaM/edit?usp=share_link"",""ตรัง!N137"")+IMPORTRANGE(""https://docs.google.com/spreadsheets/d/1T5rRTzFc79aSIvqnzkZNvwPstq829QYz_xALlO1Z0s8/edi"&amp;"t?usp=share_link"",""นครศรีธรรมราช!N137"")+IMPORTRANGE(""https://docs.google.com/spreadsheets/d/1BeghqumK0IvCmRd2QOy6_afsZq7ZtAGrSnVJy2u7WmY/edit?usp=share_link"",""นราธิวาส!N137"")+IMPORTRANGE(""https://docs.google.com/spreadsheets/d/1IwnW3-jjRf74MCLW-6P"&amp;"iFwMUffRQXZwZA7YM609NmRc/edit?usp=share_link"",""ปัตตานี!N137"")+IMPORTRANGE(""https://docs.google.com/spreadsheets/d/1vl4QWbWdFruual5o_wdo6ZSqXZ_it806oja4CctTLKs/edit?usp=share_link"",""พังงา!N137"")+IMPORTRANGE(""https://docs.google.com/spreadsheets/d/1"&amp;"b6QssHQp2FoAPSMKHOy273KNzAomaIKhtdlvuZ_zDNE/edit?usp=share_link"",""พัทลุง!N137"")+IMPORTRANGE(""https://docs.google.com/spreadsheets/d/1o7UZe4_OqlqtLDHrj01Z2YFRSZDf1DMy1n3XViHaxRc/edit?usp=share_link"",""ภูเก็ต!N137"")+IMPORTRANGE(""https://docs.google.c"&amp;"om/spreadsheets/d/1ctPm1vUzcUCPuOj9-eoHUD85PqINFqUB0TjdSWmR5-c/edit?usp=share_link"",""ยะลา!N137"")+IMPORTRANGE(""https://docs.google.com/spreadsheets/d/1YiDIE7Klmt8osgdapRqYWNr7iPGFSsiJqq46S7PYRE0/edit?usp=share_link"",""ระนอง!N137"")+IMPORTRANGE(""https"&amp;"://docs.google.com/spreadsheets/d/16o_4B-V7AWw_6E93bSpXj_XxVv1oVQctk-B6z1dNEWU/edit?usp=share_link"",""สงขลา!N137"")+IMPORTRANGE(""https://docs.google.com/spreadsheets/d/16cywr71Fj4fA5OGRHsZh30ZG2gwJhMAQv69oVBzYHv0/edit?usp=share_link"",""สตูล!N137"")+IMP"&amp;"ORTRANGE(""https://docs.google.com/spreadsheets/d/1vO9Sws6kMtrVtyvrAJptINXjK8TFBoX9xLYOVK_C8bQ/edit?usp=share_link"",""สุราษฎร์ธานี!N137"")"),1020845.14)</f>
        <v>1020845.14</v>
      </c>
      <c r="O137" s="45">
        <f t="shared" ca="1" si="87"/>
        <v>70.985932083763586</v>
      </c>
      <c r="P137" s="45">
        <f t="shared" ca="1" si="88"/>
        <v>70.985932083763586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927000</v>
      </c>
      <c r="M138" s="38">
        <f t="shared" ca="1" si="92"/>
        <v>921000</v>
      </c>
      <c r="N138" s="38">
        <f t="shared" ca="1" si="92"/>
        <v>921000</v>
      </c>
      <c r="O138" s="38">
        <f t="shared" ca="1" si="87"/>
        <v>99.35275080906149</v>
      </c>
      <c r="P138" s="38">
        <f t="shared" ca="1" si="88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IFERROR(__xludf.DUMMYFUNCTION("IMPORTRANGE(""https://docs.google.com/spreadsheets/d/1kC41EOXpGBFOW658Fs3oD8beYlym0-zO54WY-2Qnp9I/edit?usp=share_link"",""กระบี่!L140"")
+IMPORTRANGE(""https://docs.google.com/spreadsheets/d/1FbzMZY_f3MDiEuK7RpCQKrilJ_kpX0Wm7QBZ1L7EjIU/edit?usp=share_link"&amp;""",""ชุมพร!L140"")+IMPORTRANGE(""https://docs.google.com/spreadsheets/d/1v5sN-00LrXuhBxw4dkh2GrG_z4l5oAqOdJRBCsUyMaM/edit?usp=share_link"",""ตรัง!L140"")+IMPORTRANGE(""https://docs.google.com/spreadsheets/d/1T5rRTzFc79aSIvqnzkZNvwPstq829QYz_xALlO1Z0s8/edi"&amp;"t?usp=share_link"",""นครศรีธรรมราช!L140"")+IMPORTRANGE(""https://docs.google.com/spreadsheets/d/1BeghqumK0IvCmRd2QOy6_afsZq7ZtAGrSnVJy2u7WmY/edit?usp=share_link"",""นราธิวาส!L140"")+IMPORTRANGE(""https://docs.google.com/spreadsheets/d/1IwnW3-jjRf74MCLW-6P"&amp;"iFwMUffRQXZwZA7YM609NmRc/edit?usp=share_link"",""ปัตตานี!L140"")+IMPORTRANGE(""https://docs.google.com/spreadsheets/d/1vl4QWbWdFruual5o_wdo6ZSqXZ_it806oja4CctTLKs/edit?usp=share_link"",""พังงา!L140"")+IMPORTRANGE(""https://docs.google.com/spreadsheets/d/1"&amp;"b6QssHQp2FoAPSMKHOy273KNzAomaIKhtdlvuZ_zDNE/edit?usp=share_link"",""พัทลุง!L140"")+IMPORTRANGE(""https://docs.google.com/spreadsheets/d/1o7UZe4_OqlqtLDHrj01Z2YFRSZDf1DMy1n3XViHaxRc/edit?usp=share_link"",""ภูเก็ต!L140"")+IMPORTRANGE(""https://docs.google.c"&amp;"om/spreadsheets/d/1ctPm1vUzcUCPuOj9-eoHUD85PqINFqUB0TjdSWmR5-c/edit?usp=share_link"",""ยะลา!L140"")+IMPORTRANGE(""https://docs.google.com/spreadsheets/d/1YiDIE7Klmt8osgdapRqYWNr7iPGFSsiJqq46S7PYRE0/edit?usp=share_link"",""ระนอง!L140"")+IMPORTRANGE(""https"&amp;"://docs.google.com/spreadsheets/d/16o_4B-V7AWw_6E93bSpXj_XxVv1oVQctk-B6z1dNEWU/edit?usp=share_link"",""สงขลา!L140"")+IMPORTRANGE(""https://docs.google.com/spreadsheets/d/16cywr71Fj4fA5OGRHsZh30ZG2gwJhMAQv69oVBzYHv0/edit?usp=share_link"",""สตูล!L140"")+IMP"&amp;"ORTRANGE(""https://docs.google.com/spreadsheets/d/1vO9Sws6kMtrVtyvrAJptINXjK8TFBoX9xLYOVK_C8bQ/edit?usp=share_link"",""สุราษฎร์ธานี!L140"")"),927000)</f>
        <v>927000</v>
      </c>
      <c r="M140" s="45">
        <f ca="1">IFERROR(__xludf.DUMMYFUNCTION("IMPORTRANGE(""https://docs.google.com/spreadsheets/d/1kC41EOXpGBFOW658Fs3oD8beYlym0-zO54WY-2Qnp9I/edit?usp=share_link"",""กระบี่!M140"")
+IMPORTRANGE(""https://docs.google.com/spreadsheets/d/1FbzMZY_f3MDiEuK7RpCQKrilJ_kpX0Wm7QBZ1L7EjIU/edit?usp=share_link"&amp;""",""ชุมพร!M140"")+IMPORTRANGE(""https://docs.google.com/spreadsheets/d/1v5sN-00LrXuhBxw4dkh2GrG_z4l5oAqOdJRBCsUyMaM/edit?usp=share_link"",""ตรัง!M140"")+IMPORTRANGE(""https://docs.google.com/spreadsheets/d/1T5rRTzFc79aSIvqnzkZNvwPstq829QYz_xALlO1Z0s8/edi"&amp;"t?usp=share_link"",""นครศรีธรรมราช!M140"")+IMPORTRANGE(""https://docs.google.com/spreadsheets/d/1BeghqumK0IvCmRd2QOy6_afsZq7ZtAGrSnVJy2u7WmY/edit?usp=share_link"",""นราธิวาส!M140"")+IMPORTRANGE(""https://docs.google.com/spreadsheets/d/1IwnW3-jjRf74MCLW-6P"&amp;"iFwMUffRQXZwZA7YM609NmRc/edit?usp=share_link"",""ปัตตานี!M140"")+IMPORTRANGE(""https://docs.google.com/spreadsheets/d/1vl4QWbWdFruual5o_wdo6ZSqXZ_it806oja4CctTLKs/edit?usp=share_link"",""พังงา!M140"")+IMPORTRANGE(""https://docs.google.com/spreadsheets/d/1"&amp;"b6QssHQp2FoAPSMKHOy273KNzAomaIKhtdlvuZ_zDNE/edit?usp=share_link"",""พัทลุง!M140"")+IMPORTRANGE(""https://docs.google.com/spreadsheets/d/1o7UZe4_OqlqtLDHrj01Z2YFRSZDf1DMy1n3XViHaxRc/edit?usp=share_link"",""ภูเก็ต!M140"")+IMPORTRANGE(""https://docs.google.c"&amp;"om/spreadsheets/d/1ctPm1vUzcUCPuOj9-eoHUD85PqINFqUB0TjdSWmR5-c/edit?usp=share_link"",""ยะลา!M140"")+IMPORTRANGE(""https://docs.google.com/spreadsheets/d/1YiDIE7Klmt8osgdapRqYWNr7iPGFSsiJqq46S7PYRE0/edit?usp=share_link"",""ระนอง!M140"")+IMPORTRANGE(""https"&amp;"://docs.google.com/spreadsheets/d/16o_4B-V7AWw_6E93bSpXj_XxVv1oVQctk-B6z1dNEWU/edit?usp=share_link"",""สงขลา!M140"")+IMPORTRANGE(""https://docs.google.com/spreadsheets/d/16cywr71Fj4fA5OGRHsZh30ZG2gwJhMAQv69oVBzYHv0/edit?usp=share_link"",""สตูล!M140"")+IMP"&amp;"ORTRANGE(""https://docs.google.com/spreadsheets/d/1vO9Sws6kMtrVtyvrAJptINXjK8TFBoX9xLYOVK_C8bQ/edit?usp=share_link"",""สุราษฎร์ธานี!M140"")"),921000)</f>
        <v>921000</v>
      </c>
      <c r="N140" s="45">
        <f ca="1">IFERROR(__xludf.DUMMYFUNCTION("IMPORTRANGE(""https://docs.google.com/spreadsheets/d/1kC41EOXpGBFOW658Fs3oD8beYlym0-zO54WY-2Qnp9I/edit?usp=share_link"",""กระบี่!N140"")
+IMPORTRANGE(""https://docs.google.com/spreadsheets/d/1FbzMZY_f3MDiEuK7RpCQKrilJ_kpX0Wm7QBZ1L7EjIU/edit?usp=share_link"&amp;""",""ชุมพร!N140"")+IMPORTRANGE(""https://docs.google.com/spreadsheets/d/1v5sN-00LrXuhBxw4dkh2GrG_z4l5oAqOdJRBCsUyMaM/edit?usp=share_link"",""ตรัง!N140"")+IMPORTRANGE(""https://docs.google.com/spreadsheets/d/1T5rRTzFc79aSIvqnzkZNvwPstq829QYz_xALlO1Z0s8/edi"&amp;"t?usp=share_link"",""นครศรีธรรมราช!N140"")+IMPORTRANGE(""https://docs.google.com/spreadsheets/d/1BeghqumK0IvCmRd2QOy6_afsZq7ZtAGrSnVJy2u7WmY/edit?usp=share_link"",""นราธิวาส!N140"")+IMPORTRANGE(""https://docs.google.com/spreadsheets/d/1IwnW3-jjRf74MCLW-6P"&amp;"iFwMUffRQXZwZA7YM609NmRc/edit?usp=share_link"",""ปัตตานี!N140"")+IMPORTRANGE(""https://docs.google.com/spreadsheets/d/1vl4QWbWdFruual5o_wdo6ZSqXZ_it806oja4CctTLKs/edit?usp=share_link"",""พังงา!N140"")+IMPORTRANGE(""https://docs.google.com/spreadsheets/d/1"&amp;"b6QssHQp2FoAPSMKHOy273KNzAomaIKhtdlvuZ_zDNE/edit?usp=share_link"",""พัทลุง!N140"")+IMPORTRANGE(""https://docs.google.com/spreadsheets/d/1o7UZe4_OqlqtLDHrj01Z2YFRSZDf1DMy1n3XViHaxRc/edit?usp=share_link"",""ภูเก็ต!N140"")+IMPORTRANGE(""https://docs.google.c"&amp;"om/spreadsheets/d/1ctPm1vUzcUCPuOj9-eoHUD85PqINFqUB0TjdSWmR5-c/edit?usp=share_link"",""ยะลา!N140"")+IMPORTRANGE(""https://docs.google.com/spreadsheets/d/1YiDIE7Klmt8osgdapRqYWNr7iPGFSsiJqq46S7PYRE0/edit?usp=share_link"",""ระนอง!N140"")+IMPORTRANGE(""https"&amp;"://docs.google.com/spreadsheets/d/16o_4B-V7AWw_6E93bSpXj_XxVv1oVQctk-B6z1dNEWU/edit?usp=share_link"",""สงขลา!N140"")+IMPORTRANGE(""https://docs.google.com/spreadsheets/d/16cywr71Fj4fA5OGRHsZh30ZG2gwJhMAQv69oVBzYHv0/edit?usp=share_link"",""สตูล!N140"")+IMP"&amp;"ORTRANGE(""https://docs.google.com/spreadsheets/d/1vO9Sws6kMtrVtyvrAJptINXjK8TFBoX9xLYOVK_C8bQ/edit?usp=share_link"",""สุราษฎร์ธานี!N140"")"),921000)</f>
        <v>921000</v>
      </c>
      <c r="O140" s="45">
        <f t="shared" ca="1" si="87"/>
        <v>99.35275080906149</v>
      </c>
      <c r="P140" s="45">
        <f t="shared" ca="1" si="88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IFERROR(__xludf.DUMMYFUNCTION("IMPORTRANGE(""https://docs.google.com/spreadsheets/d/1kC41EOXpGBFOW658Fs3oD8beYlym0-zO54WY-2Qnp9I/edit?usp=share_link"",""กระบี่!J142"")
+IMPORTRANGE(""https://docs.google.com/spreadsheets/d/1FbzMZY_f3MDiEuK7RpCQKrilJ_kpX0Wm7QBZ1L7EjIU/edit?usp=share_link"&amp;""",""ชุมพร!J142"")+IMPORTRANGE(""https://docs.google.com/spreadsheets/d/1v5sN-00LrXuhBxw4dkh2GrG_z4l5oAqOdJRBCsUyMaM/edit?usp=share_link"",""ตรัง!J142"")+IMPORTRANGE(""https://docs.google.com/spreadsheets/d/1T5rRTzFc79aSIvqnzkZNvwPstq829QYz_xALlO1Z0s8/edi"&amp;"t?usp=share_link"",""นครศรีธรรมราช!J142"")+IMPORTRANGE(""https://docs.google.com/spreadsheets/d/1BeghqumK0IvCmRd2QOy6_afsZq7ZtAGrSnVJy2u7WmY/edit?usp=share_link"",""นราธิวาส!J142"")+IMPORTRANGE(""https://docs.google.com/spreadsheets/d/1IwnW3-jjRf74MCLW-6P"&amp;"iFwMUffRQXZwZA7YM609NmRc/edit?usp=share_link"",""ปัตตานี!J142"")+IMPORTRANGE(""https://docs.google.com/spreadsheets/d/1vl4QWbWdFruual5o_wdo6ZSqXZ_it806oja4CctTLKs/edit?usp=share_link"",""พังงา!J142"")+IMPORTRANGE(""https://docs.google.com/spreadsheets/d/1"&amp;"b6QssHQp2FoAPSMKHOy273KNzAomaIKhtdlvuZ_zDNE/edit?usp=share_link"",""พัทลุง!J142"")+IMPORTRANGE(""https://docs.google.com/spreadsheets/d/1o7UZe4_OqlqtLDHrj01Z2YFRSZDf1DMy1n3XViHaxRc/edit?usp=share_link"",""ภูเก็ต!J142"")+IMPORTRANGE(""https://docs.google.c"&amp;"om/spreadsheets/d/1ctPm1vUzcUCPuOj9-eoHUD85PqINFqUB0TjdSWmR5-c/edit?usp=share_link"",""ยะลา!J142"")+IMPORTRANGE(""https://docs.google.com/spreadsheets/d/1YiDIE7Klmt8osgdapRqYWNr7iPGFSsiJqq46S7PYRE0/edit?usp=share_link"",""ระนอง!J142"")+IMPORTRANGE(""https"&amp;"://docs.google.com/spreadsheets/d/16o_4B-V7AWw_6E93bSpXj_XxVv1oVQctk-B6z1dNEWU/edit?usp=share_link"",""สงขลา!J142"")+IMPORTRANGE(""https://docs.google.com/spreadsheets/d/16cywr71Fj4fA5OGRHsZh30ZG2gwJhMAQv69oVBzYHv0/edit?usp=share_link"",""สตูล!J142"")+IMP"&amp;"ORTRANGE(""https://docs.google.com/spreadsheets/d/1vO9Sws6kMtrVtyvrAJptINXjK8TFBoX9xLYOVK_C8bQ/edit?usp=share_link"",""สุราษฎร์ธานี!J142"")"),10)</f>
        <v>10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90</v>
      </c>
      <c r="J143" s="37">
        <f ca="1">IFERROR(__xludf.DUMMYFUNCTION("IMPORTRANGE(""https://docs.google.com/spreadsheets/d/1kC41EOXpGBFOW658Fs3oD8beYlym0-zO54WY-2Qnp9I/edit?usp=share_link"",""กระบี่!J143"")
+IMPORTRANGE(""https://docs.google.com/spreadsheets/d/1FbzMZY_f3MDiEuK7RpCQKrilJ_kpX0Wm7QBZ1L7EjIU/edit?usp=share_link"&amp;""",""ชุมพร!J143"")+IMPORTRANGE(""https://docs.google.com/spreadsheets/d/1v5sN-00LrXuhBxw4dkh2GrG_z4l5oAqOdJRBCsUyMaM/edit?usp=share_link"",""ตรัง!J143"")+IMPORTRANGE(""https://docs.google.com/spreadsheets/d/1T5rRTzFc79aSIvqnzkZNvwPstq829QYz_xALlO1Z0s8/edi"&amp;"t?usp=share_link"",""นครศรีธรรมราช!J143"")+IMPORTRANGE(""https://docs.google.com/spreadsheets/d/1BeghqumK0IvCmRd2QOy6_afsZq7ZtAGrSnVJy2u7WmY/edit?usp=share_link"",""นราธิวาส!J143"")+IMPORTRANGE(""https://docs.google.com/spreadsheets/d/1IwnW3-jjRf74MCLW-6P"&amp;"iFwMUffRQXZwZA7YM609NmRc/edit?usp=share_link"",""ปัตตานี!J143"")+IMPORTRANGE(""https://docs.google.com/spreadsheets/d/1vl4QWbWdFruual5o_wdo6ZSqXZ_it806oja4CctTLKs/edit?usp=share_link"",""พังงา!J143"")+IMPORTRANGE(""https://docs.google.com/spreadsheets/d/1"&amp;"b6QssHQp2FoAPSMKHOy273KNzAomaIKhtdlvuZ_zDNE/edit?usp=share_link"",""พัทลุง!J143"")+IMPORTRANGE(""https://docs.google.com/spreadsheets/d/1o7UZe4_OqlqtLDHrj01Z2YFRSZDf1DMy1n3XViHaxRc/edit?usp=share_link"",""ภูเก็ต!J143"")+IMPORTRANGE(""https://docs.google.c"&amp;"om/spreadsheets/d/1ctPm1vUzcUCPuOj9-eoHUD85PqINFqUB0TjdSWmR5-c/edit?usp=share_link"",""ยะลา!J143"")+IMPORTRANGE(""https://docs.google.com/spreadsheets/d/1YiDIE7Klmt8osgdapRqYWNr7iPGFSsiJqq46S7PYRE0/edit?usp=share_link"",""ระนอง!J143"")+IMPORTRANGE(""https"&amp;"://docs.google.com/spreadsheets/d/16o_4B-V7AWw_6E93bSpXj_XxVv1oVQctk-B6z1dNEWU/edit?usp=share_link"",""สงขลา!J143"")+IMPORTRANGE(""https://docs.google.com/spreadsheets/d/16cywr71Fj4fA5OGRHsZh30ZG2gwJhMAQv69oVBzYHv0/edit?usp=share_link"",""สตูล!J143"")+IMP"&amp;"ORTRANGE(""https://docs.google.com/spreadsheets/d/1vO9Sws6kMtrVtyvrAJptINXjK8TFBoX9xLYOVK_C8bQ/edit?usp=share_link"",""สุราษฎร์ธานี!J143"")"),90)</f>
        <v>90</v>
      </c>
      <c r="K143" s="38">
        <f t="shared" ref="K143:K146" ca="1" si="93">IF(I143&gt;0,J143*100/I143,0)</f>
        <v>100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IFERROR(__xludf.DUMMYFUNCTION("IMPORTRANGE(""https://docs.google.com/spreadsheets/d/1kC41EOXpGBFOW658Fs3oD8beYlym0-zO54WY-2Qnp9I/edit?usp=share_link"",""กระบี่!I144"")
+IMPORTRANGE(""https://docs.google.com/spreadsheets/d/1FbzMZY_f3MDiEuK7RpCQKrilJ_kpX0Wm7QBZ1L7EjIU/edit?usp=share_link"&amp;""",""ชุมพร!I144"")+IMPORTRANGE(""https://docs.google.com/spreadsheets/d/1v5sN-00LrXuhBxw4dkh2GrG_z4l5oAqOdJRBCsUyMaM/edit?usp=share_link"",""ตรัง!I144"")+IMPORTRANGE(""https://docs.google.com/spreadsheets/d/1T5rRTzFc79aSIvqnzkZNvwPstq829QYz_xALlO1Z0s8/edi"&amp;"t?usp=share_link"",""นครศรีธรรมราช!I144"")+IMPORTRANGE(""https://docs.google.com/spreadsheets/d/1BeghqumK0IvCmRd2QOy6_afsZq7ZtAGrSnVJy2u7WmY/edit?usp=share_link"",""นราธิวาส!I144"")+IMPORTRANGE(""https://docs.google.com/spreadsheets/d/1IwnW3-jjRf74MCLW-6P"&amp;"iFwMUffRQXZwZA7YM609NmRc/edit?usp=share_link"",""ปัตตานี!I144"")+IMPORTRANGE(""https://docs.google.com/spreadsheets/d/1vl4QWbWdFruual5o_wdo6ZSqXZ_it806oja4CctTLKs/edit?usp=share_link"",""พังงา!I144"")+IMPORTRANGE(""https://docs.google.com/spreadsheets/d/1"&amp;"b6QssHQp2FoAPSMKHOy273KNzAomaIKhtdlvuZ_zDNE/edit?usp=share_link"",""พัทลุง!I144"")+IMPORTRANGE(""https://docs.google.com/spreadsheets/d/1o7UZe4_OqlqtLDHrj01Z2YFRSZDf1DMy1n3XViHaxRc/edit?usp=share_link"",""ภูเก็ต!I144"")+IMPORTRANGE(""https://docs.google.c"&amp;"om/spreadsheets/d/1ctPm1vUzcUCPuOj9-eoHUD85PqINFqUB0TjdSWmR5-c/edit?usp=share_link"",""ยะลา!I144"")+IMPORTRANGE(""https://docs.google.com/spreadsheets/d/1YiDIE7Klmt8osgdapRqYWNr7iPGFSsiJqq46S7PYRE0/edit?usp=share_link"",""ระนอง!I144"")+IMPORTRANGE(""https"&amp;"://docs.google.com/spreadsheets/d/16o_4B-V7AWw_6E93bSpXj_XxVv1oVQctk-B6z1dNEWU/edit?usp=share_link"",""สงขลา!I144"")+IMPORTRANGE(""https://docs.google.com/spreadsheets/d/16cywr71Fj4fA5OGRHsZh30ZG2gwJhMAQv69oVBzYHv0/edit?usp=share_link"",""สตูล!I144"")+IMP"&amp;"ORTRANGE(""https://docs.google.com/spreadsheets/d/1vO9Sws6kMtrVtyvrAJptINXjK8TFBoX9xLYOVK_C8bQ/edit?usp=share_link"",""สุราษฎร์ธานี!I144"")"),45)</f>
        <v>45</v>
      </c>
      <c r="J144" s="183">
        <f ca="1">IFERROR(__xludf.DUMMYFUNCTION("IMPORTRANGE(""https://docs.google.com/spreadsheets/d/1kC41EOXpGBFOW658Fs3oD8beYlym0-zO54WY-2Qnp9I/edit?usp=share_link"",""กระบี่!J144"")
+IMPORTRANGE(""https://docs.google.com/spreadsheets/d/1FbzMZY_f3MDiEuK7RpCQKrilJ_kpX0Wm7QBZ1L7EjIU/edit?usp=share_link"&amp;""",""ชุมพร!J144"")+IMPORTRANGE(""https://docs.google.com/spreadsheets/d/1v5sN-00LrXuhBxw4dkh2GrG_z4l5oAqOdJRBCsUyMaM/edit?usp=share_link"",""ตรัง!J144"")+IMPORTRANGE(""https://docs.google.com/spreadsheets/d/1T5rRTzFc79aSIvqnzkZNvwPstq829QYz_xALlO1Z0s8/edi"&amp;"t?usp=share_link"",""นครศรีธรรมราช!J144"")+IMPORTRANGE(""https://docs.google.com/spreadsheets/d/1BeghqumK0IvCmRd2QOy6_afsZq7ZtAGrSnVJy2u7WmY/edit?usp=share_link"",""นราธิวาส!J144"")+IMPORTRANGE(""https://docs.google.com/spreadsheets/d/1IwnW3-jjRf74MCLW-6P"&amp;"iFwMUffRQXZwZA7YM609NmRc/edit?usp=share_link"",""ปัตตานี!J144"")+IMPORTRANGE(""https://docs.google.com/spreadsheets/d/1vl4QWbWdFruual5o_wdo6ZSqXZ_it806oja4CctTLKs/edit?usp=share_link"",""พังงา!J144"")+IMPORTRANGE(""https://docs.google.com/spreadsheets/d/1"&amp;"b6QssHQp2FoAPSMKHOy273KNzAomaIKhtdlvuZ_zDNE/edit?usp=share_link"",""พัทลุง!J144"")+IMPORTRANGE(""https://docs.google.com/spreadsheets/d/1o7UZe4_OqlqtLDHrj01Z2YFRSZDf1DMy1n3XViHaxRc/edit?usp=share_link"",""ภูเก็ต!J144"")+IMPORTRANGE(""https://docs.google.c"&amp;"om/spreadsheets/d/1ctPm1vUzcUCPuOj9-eoHUD85PqINFqUB0TjdSWmR5-c/edit?usp=share_link"",""ยะลา!J144"")+IMPORTRANGE(""https://docs.google.com/spreadsheets/d/1YiDIE7Klmt8osgdapRqYWNr7iPGFSsiJqq46S7PYRE0/edit?usp=share_link"",""ระนอง!J144"")+IMPORTRANGE(""https"&amp;"://docs.google.com/spreadsheets/d/16o_4B-V7AWw_6E93bSpXj_XxVv1oVQctk-B6z1dNEWU/edit?usp=share_link"",""สงขลา!J144"")+IMPORTRANGE(""https://docs.google.com/spreadsheets/d/16cywr71Fj4fA5OGRHsZh30ZG2gwJhMAQv69oVBzYHv0/edit?usp=share_link"",""สตูล!J144"")+IMP"&amp;"ORTRANGE(""https://docs.google.com/spreadsheets/d/1vO9Sws6kMtrVtyvrAJptINXjK8TFBoX9xLYOVK_C8bQ/edit?usp=share_link"",""สุราษฎร์ธานี!J144"")"),55)</f>
        <v>55</v>
      </c>
      <c r="K144" s="38">
        <f t="shared" ca="1" si="93"/>
        <v>122.22222222222223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IFERROR(__xludf.DUMMYFUNCTION("IMPORTRANGE(""https://docs.google.com/spreadsheets/d/1kC41EOXpGBFOW658Fs3oD8beYlym0-zO54WY-2Qnp9I/edit?usp=share_link"",""กระบี่!I145"")
+IMPORTRANGE(""https://docs.google.com/spreadsheets/d/1FbzMZY_f3MDiEuK7RpCQKrilJ_kpX0Wm7QBZ1L7EjIU/edit?usp=share_link"&amp;""",""ชุมพร!I145"")+IMPORTRANGE(""https://docs.google.com/spreadsheets/d/1v5sN-00LrXuhBxw4dkh2GrG_z4l5oAqOdJRBCsUyMaM/edit?usp=share_link"",""ตรัง!I145"")+IMPORTRANGE(""https://docs.google.com/spreadsheets/d/1T5rRTzFc79aSIvqnzkZNvwPstq829QYz_xALlO1Z0s8/edi"&amp;"t?usp=share_link"",""นครศรีธรรมราช!I145"")+IMPORTRANGE(""https://docs.google.com/spreadsheets/d/1BeghqumK0IvCmRd2QOy6_afsZq7ZtAGrSnVJy2u7WmY/edit?usp=share_link"",""นราธิวาส!I145"")+IMPORTRANGE(""https://docs.google.com/spreadsheets/d/1IwnW3-jjRf74MCLW-6P"&amp;"iFwMUffRQXZwZA7YM609NmRc/edit?usp=share_link"",""ปัตตานี!I145"")+IMPORTRANGE(""https://docs.google.com/spreadsheets/d/1vl4QWbWdFruual5o_wdo6ZSqXZ_it806oja4CctTLKs/edit?usp=share_link"",""พังงา!I145"")+IMPORTRANGE(""https://docs.google.com/spreadsheets/d/1"&amp;"b6QssHQp2FoAPSMKHOy273KNzAomaIKhtdlvuZ_zDNE/edit?usp=share_link"",""พัทลุง!I145"")+IMPORTRANGE(""https://docs.google.com/spreadsheets/d/1o7UZe4_OqlqtLDHrj01Z2YFRSZDf1DMy1n3XViHaxRc/edit?usp=share_link"",""ภูเก็ต!I145"")+IMPORTRANGE(""https://docs.google.c"&amp;"om/spreadsheets/d/1ctPm1vUzcUCPuOj9-eoHUD85PqINFqUB0TjdSWmR5-c/edit?usp=share_link"",""ยะลา!I145"")+IMPORTRANGE(""https://docs.google.com/spreadsheets/d/1YiDIE7Klmt8osgdapRqYWNr7iPGFSsiJqq46S7PYRE0/edit?usp=share_link"",""ระนอง!I145"")+IMPORTRANGE(""https"&amp;"://docs.google.com/spreadsheets/d/16o_4B-V7AWw_6E93bSpXj_XxVv1oVQctk-B6z1dNEWU/edit?usp=share_link"",""สงขลา!I145"")+IMPORTRANGE(""https://docs.google.com/spreadsheets/d/16cywr71Fj4fA5OGRHsZh30ZG2gwJhMAQv69oVBzYHv0/edit?usp=share_link"",""สตูล!I145"")+IMP"&amp;"ORTRANGE(""https://docs.google.com/spreadsheets/d/1vO9Sws6kMtrVtyvrAJptINXjK8TFBoX9xLYOVK_C8bQ/edit?usp=share_link"",""สุราษฎร์ธานี!I145"")"),90)</f>
        <v>90</v>
      </c>
      <c r="J145" s="183">
        <f ca="1">IFERROR(__xludf.DUMMYFUNCTION("IMPORTRANGE(""https://docs.google.com/spreadsheets/d/1kC41EOXpGBFOW658Fs3oD8beYlym0-zO54WY-2Qnp9I/edit?usp=share_link"",""กระบี่!J145"")
+IMPORTRANGE(""https://docs.google.com/spreadsheets/d/1FbzMZY_f3MDiEuK7RpCQKrilJ_kpX0Wm7QBZ1L7EjIU/edit?usp=share_link"&amp;""",""ชุมพร!J145"")+IMPORTRANGE(""https://docs.google.com/spreadsheets/d/1v5sN-00LrXuhBxw4dkh2GrG_z4l5oAqOdJRBCsUyMaM/edit?usp=share_link"",""ตรัง!J145"")+IMPORTRANGE(""https://docs.google.com/spreadsheets/d/1T5rRTzFc79aSIvqnzkZNvwPstq829QYz_xALlO1Z0s8/edi"&amp;"t?usp=share_link"",""นครศรีธรรมราช!J145"")+IMPORTRANGE(""https://docs.google.com/spreadsheets/d/1BeghqumK0IvCmRd2QOy6_afsZq7ZtAGrSnVJy2u7WmY/edit?usp=share_link"",""นราธิวาส!J145"")+IMPORTRANGE(""https://docs.google.com/spreadsheets/d/1IwnW3-jjRf74MCLW-6P"&amp;"iFwMUffRQXZwZA7YM609NmRc/edit?usp=share_link"",""ปัตตานี!J145"")+IMPORTRANGE(""https://docs.google.com/spreadsheets/d/1vl4QWbWdFruual5o_wdo6ZSqXZ_it806oja4CctTLKs/edit?usp=share_link"",""พังงา!J145"")+IMPORTRANGE(""https://docs.google.com/spreadsheets/d/1"&amp;"b6QssHQp2FoAPSMKHOy273KNzAomaIKhtdlvuZ_zDNE/edit?usp=share_link"",""พัทลุง!J145"")+IMPORTRANGE(""https://docs.google.com/spreadsheets/d/1o7UZe4_OqlqtLDHrj01Z2YFRSZDf1DMy1n3XViHaxRc/edit?usp=share_link"",""ภูเก็ต!J145"")+IMPORTRANGE(""https://docs.google.c"&amp;"om/spreadsheets/d/1ctPm1vUzcUCPuOj9-eoHUD85PqINFqUB0TjdSWmR5-c/edit?usp=share_link"",""ยะลา!J145"")+IMPORTRANGE(""https://docs.google.com/spreadsheets/d/1YiDIE7Klmt8osgdapRqYWNr7iPGFSsiJqq46S7PYRE0/edit?usp=share_link"",""ระนอง!J145"")+IMPORTRANGE(""https"&amp;"://docs.google.com/spreadsheets/d/16o_4B-V7AWw_6E93bSpXj_XxVv1oVQctk-B6z1dNEWU/edit?usp=share_link"",""สงขลา!J145"")+IMPORTRANGE(""https://docs.google.com/spreadsheets/d/16cywr71Fj4fA5OGRHsZh30ZG2gwJhMAQv69oVBzYHv0/edit?usp=share_link"",""สตูล!J145"")+IMP"&amp;"ORTRANGE(""https://docs.google.com/spreadsheets/d/1vO9Sws6kMtrVtyvrAJptINXjK8TFBoX9xLYOVK_C8bQ/edit?usp=share_link"",""สุราษฎร์ธานี!J145"")"),90)</f>
        <v>90</v>
      </c>
      <c r="K145" s="38">
        <f t="shared" ca="1" si="93"/>
        <v>100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IFERROR(__xludf.DUMMYFUNCTION("IMPORTRANGE(""https://docs.google.com/spreadsheets/d/1kC41EOXpGBFOW658Fs3oD8beYlym0-zO54WY-2Qnp9I/edit?usp=share_link"",""กระบี่!I146"")
+IMPORTRANGE(""https://docs.google.com/spreadsheets/d/1FbzMZY_f3MDiEuK7RpCQKrilJ_kpX0Wm7QBZ1L7EjIU/edit?usp=share_link"&amp;""",""ชุมพร!I146"")+IMPORTRANGE(""https://docs.google.com/spreadsheets/d/1v5sN-00LrXuhBxw4dkh2GrG_z4l5oAqOdJRBCsUyMaM/edit?usp=share_link"",""ตรัง!I146"")+IMPORTRANGE(""https://docs.google.com/spreadsheets/d/1T5rRTzFc79aSIvqnzkZNvwPstq829QYz_xALlO1Z0s8/edi"&amp;"t?usp=share_link"",""นครศรีธรรมราช!I146"")+IMPORTRANGE(""https://docs.google.com/spreadsheets/d/1BeghqumK0IvCmRd2QOy6_afsZq7ZtAGrSnVJy2u7WmY/edit?usp=share_link"",""นราธิวาส!I146"")+IMPORTRANGE(""https://docs.google.com/spreadsheets/d/1IwnW3-jjRf74MCLW-6P"&amp;"iFwMUffRQXZwZA7YM609NmRc/edit?usp=share_link"",""ปัตตานี!I146"")+IMPORTRANGE(""https://docs.google.com/spreadsheets/d/1vl4QWbWdFruual5o_wdo6ZSqXZ_it806oja4CctTLKs/edit?usp=share_link"",""พังงา!I146"")+IMPORTRANGE(""https://docs.google.com/spreadsheets/d/1"&amp;"b6QssHQp2FoAPSMKHOy273KNzAomaIKhtdlvuZ_zDNE/edit?usp=share_link"",""พัทลุง!I146"")+IMPORTRANGE(""https://docs.google.com/spreadsheets/d/1o7UZe4_OqlqtLDHrj01Z2YFRSZDf1DMy1n3XViHaxRc/edit?usp=share_link"",""ภูเก็ต!I146"")+IMPORTRANGE(""https://docs.google.c"&amp;"om/spreadsheets/d/1ctPm1vUzcUCPuOj9-eoHUD85PqINFqUB0TjdSWmR5-c/edit?usp=share_link"",""ยะลา!I146"")+IMPORTRANGE(""https://docs.google.com/spreadsheets/d/1YiDIE7Klmt8osgdapRqYWNr7iPGFSsiJqq46S7PYRE0/edit?usp=share_link"",""ระนอง!I146"")+IMPORTRANGE(""https"&amp;"://docs.google.com/spreadsheets/d/16o_4B-V7AWw_6E93bSpXj_XxVv1oVQctk-B6z1dNEWU/edit?usp=share_link"",""สงขลา!I146"")+IMPORTRANGE(""https://docs.google.com/spreadsheets/d/16cywr71Fj4fA5OGRHsZh30ZG2gwJhMAQv69oVBzYHv0/edit?usp=share_link"",""สตูล!I146"")+IMP"&amp;"ORTRANGE(""https://docs.google.com/spreadsheets/d/1vO9Sws6kMtrVtyvrAJptINXjK8TFBoX9xLYOVK_C8bQ/edit?usp=share_link"",""สุราษฎร์ธานี!I146"")"),9)</f>
        <v>9</v>
      </c>
      <c r="J146" s="183">
        <f ca="1">IFERROR(__xludf.DUMMYFUNCTION("IMPORTRANGE(""https://docs.google.com/spreadsheets/d/1kC41EOXpGBFOW658Fs3oD8beYlym0-zO54WY-2Qnp9I/edit?usp=share_link"",""กระบี่!J146"")
+IMPORTRANGE(""https://docs.google.com/spreadsheets/d/1FbzMZY_f3MDiEuK7RpCQKrilJ_kpX0Wm7QBZ1L7EjIU/edit?usp=share_link"&amp;""",""ชุมพร!J146"")+IMPORTRANGE(""https://docs.google.com/spreadsheets/d/1v5sN-00LrXuhBxw4dkh2GrG_z4l5oAqOdJRBCsUyMaM/edit?usp=share_link"",""ตรัง!J146"")+IMPORTRANGE(""https://docs.google.com/spreadsheets/d/1T5rRTzFc79aSIvqnzkZNvwPstq829QYz_xALlO1Z0s8/edi"&amp;"t?usp=share_link"",""นครศรีธรรมราช!J146"")+IMPORTRANGE(""https://docs.google.com/spreadsheets/d/1BeghqumK0IvCmRd2QOy6_afsZq7ZtAGrSnVJy2u7WmY/edit?usp=share_link"",""นราธิวาส!J146"")+IMPORTRANGE(""https://docs.google.com/spreadsheets/d/1IwnW3-jjRf74MCLW-6P"&amp;"iFwMUffRQXZwZA7YM609NmRc/edit?usp=share_link"",""ปัตตานี!J146"")+IMPORTRANGE(""https://docs.google.com/spreadsheets/d/1vl4QWbWdFruual5o_wdo6ZSqXZ_it806oja4CctTLKs/edit?usp=share_link"",""พังงา!J146"")+IMPORTRANGE(""https://docs.google.com/spreadsheets/d/1"&amp;"b6QssHQp2FoAPSMKHOy273KNzAomaIKhtdlvuZ_zDNE/edit?usp=share_link"",""พัทลุง!J146"")+IMPORTRANGE(""https://docs.google.com/spreadsheets/d/1o7UZe4_OqlqtLDHrj01Z2YFRSZDf1DMy1n3XViHaxRc/edit?usp=share_link"",""ภูเก็ต!J146"")+IMPORTRANGE(""https://docs.google.c"&amp;"om/spreadsheets/d/1ctPm1vUzcUCPuOj9-eoHUD85PqINFqUB0TjdSWmR5-c/edit?usp=share_link"",""ยะลา!J146"")+IMPORTRANGE(""https://docs.google.com/spreadsheets/d/1YiDIE7Klmt8osgdapRqYWNr7iPGFSsiJqq46S7PYRE0/edit?usp=share_link"",""ระนอง!J146"")+IMPORTRANGE(""https"&amp;"://docs.google.com/spreadsheets/d/16o_4B-V7AWw_6E93bSpXj_XxVv1oVQctk-B6z1dNEWU/edit?usp=share_link"",""สงขลา!J146"")+IMPORTRANGE(""https://docs.google.com/spreadsheets/d/16cywr71Fj4fA5OGRHsZh30ZG2gwJhMAQv69oVBzYHv0/edit?usp=share_link"",""สตูล!J146"")+IMP"&amp;"ORTRANGE(""https://docs.google.com/spreadsheets/d/1vO9Sws6kMtrVtyvrAJptINXjK8TFBoX9xLYOVK_C8bQ/edit?usp=share_link"",""สุราษฎร์ธานี!J146"")"),6)</f>
        <v>6</v>
      </c>
      <c r="K146" s="38">
        <f t="shared" ca="1" si="93"/>
        <v>66.666666666666671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40</v>
      </c>
      <c r="J148" s="144">
        <f t="shared" ca="1" si="94"/>
        <v>41</v>
      </c>
      <c r="K148" s="145">
        <f ca="1">IF(I148&gt;0,J148*100/I148,0)</f>
        <v>102.5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20000</v>
      </c>
      <c r="M149" s="155">
        <f t="shared" ca="1" si="95"/>
        <v>48440</v>
      </c>
      <c r="N149" s="155">
        <f t="shared" ca="1" si="95"/>
        <v>41952</v>
      </c>
      <c r="O149" s="155">
        <f t="shared" ref="O149:O157" ca="1" si="96">IF(L149&gt;0,N149*100/L149,0)</f>
        <v>209.76</v>
      </c>
      <c r="P149" s="155">
        <f t="shared" ref="P149:P157" ca="1" si="97">IF(M149&gt;0,N149*100/M149,0)</f>
        <v>86.606110652353422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20000</v>
      </c>
      <c r="M151" s="45">
        <f t="shared" ca="1" si="99"/>
        <v>48440</v>
      </c>
      <c r="N151" s="45">
        <f t="shared" ca="1" si="99"/>
        <v>41952</v>
      </c>
      <c r="O151" s="45">
        <f t="shared" ca="1" si="96"/>
        <v>209.76</v>
      </c>
      <c r="P151" s="45">
        <f t="shared" ca="1" si="97"/>
        <v>86.606110652353422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20000</v>
      </c>
      <c r="M152" s="38">
        <f t="shared" ca="1" si="100"/>
        <v>48440</v>
      </c>
      <c r="N152" s="38">
        <f t="shared" ca="1" si="100"/>
        <v>41952</v>
      </c>
      <c r="O152" s="38">
        <f t="shared" ca="1" si="96"/>
        <v>209.76</v>
      </c>
      <c r="P152" s="38">
        <f t="shared" ca="1" si="97"/>
        <v>86.606110652353422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IFERROR(__xludf.DUMMYFUNCTION("IMPORTRANGE(""https://docs.google.com/spreadsheets/d/1kC41EOXpGBFOW658Fs3oD8beYlym0-zO54WY-2Qnp9I/edit?usp=share_link"",""กระบี่!L154"")
+IMPORTRANGE(""https://docs.google.com/spreadsheets/d/1FbzMZY_f3MDiEuK7RpCQKrilJ_kpX0Wm7QBZ1L7EjIU/edit?usp=share_link"&amp;""",""ชุมพร!L154"")+IMPORTRANGE(""https://docs.google.com/spreadsheets/d/1v5sN-00LrXuhBxw4dkh2GrG_z4l5oAqOdJRBCsUyMaM/edit?usp=share_link"",""ตรัง!L154"")+IMPORTRANGE(""https://docs.google.com/spreadsheets/d/1T5rRTzFc79aSIvqnzkZNvwPstq829QYz_xALlO1Z0s8/edi"&amp;"t?usp=share_link"",""นครศรีธรรมราช!L154"")+IMPORTRANGE(""https://docs.google.com/spreadsheets/d/1BeghqumK0IvCmRd2QOy6_afsZq7ZtAGrSnVJy2u7WmY/edit?usp=share_link"",""นราธิวาส!L154"")+IMPORTRANGE(""https://docs.google.com/spreadsheets/d/1IwnW3-jjRf74MCLW-6P"&amp;"iFwMUffRQXZwZA7YM609NmRc/edit?usp=share_link"",""ปัตตานี!L154"")+IMPORTRANGE(""https://docs.google.com/spreadsheets/d/1vl4QWbWdFruual5o_wdo6ZSqXZ_it806oja4CctTLKs/edit?usp=share_link"",""พังงา!L154"")+IMPORTRANGE(""https://docs.google.com/spreadsheets/d/1"&amp;"b6QssHQp2FoAPSMKHOy273KNzAomaIKhtdlvuZ_zDNE/edit?usp=share_link"",""พัทลุง!L154"")+IMPORTRANGE(""https://docs.google.com/spreadsheets/d/1o7UZe4_OqlqtLDHrj01Z2YFRSZDf1DMy1n3XViHaxRc/edit?usp=share_link"",""ภูเก็ต!L154"")+IMPORTRANGE(""https://docs.google.c"&amp;"om/spreadsheets/d/1ctPm1vUzcUCPuOj9-eoHUD85PqINFqUB0TjdSWmR5-c/edit?usp=share_link"",""ยะลา!L154"")+IMPORTRANGE(""https://docs.google.com/spreadsheets/d/1YiDIE7Klmt8osgdapRqYWNr7iPGFSsiJqq46S7PYRE0/edit?usp=share_link"",""ระนอง!L154"")+IMPORTRANGE(""https"&amp;"://docs.google.com/spreadsheets/d/16o_4B-V7AWw_6E93bSpXj_XxVv1oVQctk-B6z1dNEWU/edit?usp=share_link"",""สงขลา!L154"")+IMPORTRANGE(""https://docs.google.com/spreadsheets/d/16cywr71Fj4fA5OGRHsZh30ZG2gwJhMAQv69oVBzYHv0/edit?usp=share_link"",""สตูล!L154"")+IMP"&amp;"ORTRANGE(""https://docs.google.com/spreadsheets/d/1vO9Sws6kMtrVtyvrAJptINXjK8TFBoX9xLYOVK_C8bQ/edit?usp=share_link"",""สุราษฎร์ธานี!L154"")"),20000)</f>
        <v>20000</v>
      </c>
      <c r="M154" s="45">
        <f ca="1">IFERROR(__xludf.DUMMYFUNCTION("IMPORTRANGE(""https://docs.google.com/spreadsheets/d/1kC41EOXpGBFOW658Fs3oD8beYlym0-zO54WY-2Qnp9I/edit?usp=share_link"",""กระบี่!M154"")
+IMPORTRANGE(""https://docs.google.com/spreadsheets/d/1FbzMZY_f3MDiEuK7RpCQKrilJ_kpX0Wm7QBZ1L7EjIU/edit?usp=share_link"&amp;""",""ชุมพร!M154"")+IMPORTRANGE(""https://docs.google.com/spreadsheets/d/1v5sN-00LrXuhBxw4dkh2GrG_z4l5oAqOdJRBCsUyMaM/edit?usp=share_link"",""ตรัง!M154"")+IMPORTRANGE(""https://docs.google.com/spreadsheets/d/1T5rRTzFc79aSIvqnzkZNvwPstq829QYz_xALlO1Z0s8/edi"&amp;"t?usp=share_link"",""นครศรีธรรมราช!M154"")+IMPORTRANGE(""https://docs.google.com/spreadsheets/d/1BeghqumK0IvCmRd2QOy6_afsZq7ZtAGrSnVJy2u7WmY/edit?usp=share_link"",""นราธิวาส!M154"")+IMPORTRANGE(""https://docs.google.com/spreadsheets/d/1IwnW3-jjRf74MCLW-6P"&amp;"iFwMUffRQXZwZA7YM609NmRc/edit?usp=share_link"",""ปัตตานี!M154"")+IMPORTRANGE(""https://docs.google.com/spreadsheets/d/1vl4QWbWdFruual5o_wdo6ZSqXZ_it806oja4CctTLKs/edit?usp=share_link"",""พังงา!M154"")+IMPORTRANGE(""https://docs.google.com/spreadsheets/d/1"&amp;"b6QssHQp2FoAPSMKHOy273KNzAomaIKhtdlvuZ_zDNE/edit?usp=share_link"",""พัทลุง!M154"")+IMPORTRANGE(""https://docs.google.com/spreadsheets/d/1o7UZe4_OqlqtLDHrj01Z2YFRSZDf1DMy1n3XViHaxRc/edit?usp=share_link"",""ภูเก็ต!M154"")+IMPORTRANGE(""https://docs.google.c"&amp;"om/spreadsheets/d/1ctPm1vUzcUCPuOj9-eoHUD85PqINFqUB0TjdSWmR5-c/edit?usp=share_link"",""ยะลา!M154"")+IMPORTRANGE(""https://docs.google.com/spreadsheets/d/1YiDIE7Klmt8osgdapRqYWNr7iPGFSsiJqq46S7PYRE0/edit?usp=share_link"",""ระนอง!M154"")+IMPORTRANGE(""https"&amp;"://docs.google.com/spreadsheets/d/16o_4B-V7AWw_6E93bSpXj_XxVv1oVQctk-B6z1dNEWU/edit?usp=share_link"",""สงขลา!M154"")+IMPORTRANGE(""https://docs.google.com/spreadsheets/d/16cywr71Fj4fA5OGRHsZh30ZG2gwJhMAQv69oVBzYHv0/edit?usp=share_link"",""สตูล!M154"")+IMP"&amp;"ORTRANGE(""https://docs.google.com/spreadsheets/d/1vO9Sws6kMtrVtyvrAJptINXjK8TFBoX9xLYOVK_C8bQ/edit?usp=share_link"",""สุราษฎร์ธานี!M154"")"),48440)</f>
        <v>48440</v>
      </c>
      <c r="N154" s="45">
        <f ca="1">IFERROR(__xludf.DUMMYFUNCTION("IMPORTRANGE(""https://docs.google.com/spreadsheets/d/1kC41EOXpGBFOW658Fs3oD8beYlym0-zO54WY-2Qnp9I/edit?usp=share_link"",""กระบี่!N154"")
+IMPORTRANGE(""https://docs.google.com/spreadsheets/d/1FbzMZY_f3MDiEuK7RpCQKrilJ_kpX0Wm7QBZ1L7EjIU/edit?usp=share_link"&amp;""",""ชุมพร!N154"")+IMPORTRANGE(""https://docs.google.com/spreadsheets/d/1v5sN-00LrXuhBxw4dkh2GrG_z4l5oAqOdJRBCsUyMaM/edit?usp=share_link"",""ตรัง!N154"")+IMPORTRANGE(""https://docs.google.com/spreadsheets/d/1T5rRTzFc79aSIvqnzkZNvwPstq829QYz_xALlO1Z0s8/edi"&amp;"t?usp=share_link"",""นครศรีธรรมราช!N154"")+IMPORTRANGE(""https://docs.google.com/spreadsheets/d/1BeghqumK0IvCmRd2QOy6_afsZq7ZtAGrSnVJy2u7WmY/edit?usp=share_link"",""นราธิวาส!N154"")+IMPORTRANGE(""https://docs.google.com/spreadsheets/d/1IwnW3-jjRf74MCLW-6P"&amp;"iFwMUffRQXZwZA7YM609NmRc/edit?usp=share_link"",""ปัตตานี!N154"")+IMPORTRANGE(""https://docs.google.com/spreadsheets/d/1vl4QWbWdFruual5o_wdo6ZSqXZ_it806oja4CctTLKs/edit?usp=share_link"",""พังงา!N154"")+IMPORTRANGE(""https://docs.google.com/spreadsheets/d/1"&amp;"b6QssHQp2FoAPSMKHOy273KNzAomaIKhtdlvuZ_zDNE/edit?usp=share_link"",""พัทลุง!N154"")+IMPORTRANGE(""https://docs.google.com/spreadsheets/d/1o7UZe4_OqlqtLDHrj01Z2YFRSZDf1DMy1n3XViHaxRc/edit?usp=share_link"",""ภูเก็ต!N154"")+IMPORTRANGE(""https://docs.google.c"&amp;"om/spreadsheets/d/1ctPm1vUzcUCPuOj9-eoHUD85PqINFqUB0TjdSWmR5-c/edit?usp=share_link"",""ยะลา!N154"")+IMPORTRANGE(""https://docs.google.com/spreadsheets/d/1YiDIE7Klmt8osgdapRqYWNr7iPGFSsiJqq46S7PYRE0/edit?usp=share_link"",""ระนอง!N154"")+IMPORTRANGE(""https"&amp;"://docs.google.com/spreadsheets/d/16o_4B-V7AWw_6E93bSpXj_XxVv1oVQctk-B6z1dNEWU/edit?usp=share_link"",""สงขลา!N154"")+IMPORTRANGE(""https://docs.google.com/spreadsheets/d/16cywr71Fj4fA5OGRHsZh30ZG2gwJhMAQv69oVBzYHv0/edit?usp=share_link"",""สตูล!N154"")+IMP"&amp;"ORTRANGE(""https://docs.google.com/spreadsheets/d/1vO9Sws6kMtrVtyvrAJptINXjK8TFBoX9xLYOVK_C8bQ/edit?usp=share_link"",""สุราษฎร์ธานี!N154"")"),41952)</f>
        <v>41952</v>
      </c>
      <c r="O154" s="45">
        <f t="shared" ca="1" si="96"/>
        <v>209.76</v>
      </c>
      <c r="P154" s="45">
        <f t="shared" ca="1" si="97"/>
        <v>86.606110652353422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IFERROR(__xludf.DUMMYFUNCTION("IMPORTRANGE(""https://docs.google.com/spreadsheets/d/1kC41EOXpGBFOW658Fs3oD8beYlym0-zO54WY-2Qnp9I/edit?usp=share_link"",""กระบี่!L157"")
+IMPORTRANGE(""https://docs.google.com/spreadsheets/d/1FbzMZY_f3MDiEuK7RpCQKrilJ_kpX0Wm7QBZ1L7EjIU/edit?usp=share_link"&amp;""",""ชุมพร!L157"")+IMPORTRANGE(""https://docs.google.com/spreadsheets/d/1v5sN-00LrXuhBxw4dkh2GrG_z4l5oAqOdJRBCsUyMaM/edit?usp=share_link"",""ตรัง!L157"")+IMPORTRANGE(""https://docs.google.com/spreadsheets/d/1T5rRTzFc79aSIvqnzkZNvwPstq829QYz_xALlO1Z0s8/edi"&amp;"t?usp=share_link"",""นครศรีธรรมราช!L157"")+IMPORTRANGE(""https://docs.google.com/spreadsheets/d/1BeghqumK0IvCmRd2QOy6_afsZq7ZtAGrSnVJy2u7WmY/edit?usp=share_link"",""นราธิวาส!L157"")+IMPORTRANGE(""https://docs.google.com/spreadsheets/d/1IwnW3-jjRf74MCLW-6P"&amp;"iFwMUffRQXZwZA7YM609NmRc/edit?usp=share_link"",""ปัตตานี!L157"")+IMPORTRANGE(""https://docs.google.com/spreadsheets/d/1vl4QWbWdFruual5o_wdo6ZSqXZ_it806oja4CctTLKs/edit?usp=share_link"",""พังงา!L157"")+IMPORTRANGE(""https://docs.google.com/spreadsheets/d/1"&amp;"b6QssHQp2FoAPSMKHOy273KNzAomaIKhtdlvuZ_zDNE/edit?usp=share_link"",""พัทลุง!L157"")+IMPORTRANGE(""https://docs.google.com/spreadsheets/d/1o7UZe4_OqlqtLDHrj01Z2YFRSZDf1DMy1n3XViHaxRc/edit?usp=share_link"",""ภูเก็ต!L157"")+IMPORTRANGE(""https://docs.google.c"&amp;"om/spreadsheets/d/1ctPm1vUzcUCPuOj9-eoHUD85PqINFqUB0TjdSWmR5-c/edit?usp=share_link"",""ยะลา!L157"")+IMPORTRANGE(""https://docs.google.com/spreadsheets/d/1YiDIE7Klmt8osgdapRqYWNr7iPGFSsiJqq46S7PYRE0/edit?usp=share_link"",""ระนอง!L157"")+IMPORTRANGE(""https"&amp;"://docs.google.com/spreadsheets/d/16o_4B-V7AWw_6E93bSpXj_XxVv1oVQctk-B6z1dNEWU/edit?usp=share_link"",""สงขลา!L157"")+IMPORTRANGE(""https://docs.google.com/spreadsheets/d/16cywr71Fj4fA5OGRHsZh30ZG2gwJhMAQv69oVBzYHv0/edit?usp=share_link"",""สตูล!L157"")+IMP"&amp;"ORTRANGE(""https://docs.google.com/spreadsheets/d/1vO9Sws6kMtrVtyvrAJptINXjK8TFBoX9xLYOVK_C8bQ/edit?usp=share_link"",""สุราษฎร์ธานี!L157"")"),0)</f>
        <v>0</v>
      </c>
      <c r="M157" s="45">
        <f ca="1">IFERROR(__xludf.DUMMYFUNCTION("IMPORTRANGE(""https://docs.google.com/spreadsheets/d/1kC41EOXpGBFOW658Fs3oD8beYlym0-zO54WY-2Qnp9I/edit?usp=share_link"",""กระบี่!M157"")
+IMPORTRANGE(""https://docs.google.com/spreadsheets/d/1FbzMZY_f3MDiEuK7RpCQKrilJ_kpX0Wm7QBZ1L7EjIU/edit?usp=share_link"&amp;""",""ชุมพร!M157"")+IMPORTRANGE(""https://docs.google.com/spreadsheets/d/1v5sN-00LrXuhBxw4dkh2GrG_z4l5oAqOdJRBCsUyMaM/edit?usp=share_link"",""ตรัง!M157"")+IMPORTRANGE(""https://docs.google.com/spreadsheets/d/1T5rRTzFc79aSIvqnzkZNvwPstq829QYz_xALlO1Z0s8/edi"&amp;"t?usp=share_link"",""นครศรีธรรมราช!M157"")+IMPORTRANGE(""https://docs.google.com/spreadsheets/d/1BeghqumK0IvCmRd2QOy6_afsZq7ZtAGrSnVJy2u7WmY/edit?usp=share_link"",""นราธิวาส!M157"")+IMPORTRANGE(""https://docs.google.com/spreadsheets/d/1IwnW3-jjRf74MCLW-6P"&amp;"iFwMUffRQXZwZA7YM609NmRc/edit?usp=share_link"",""ปัตตานี!M157"")+IMPORTRANGE(""https://docs.google.com/spreadsheets/d/1vl4QWbWdFruual5o_wdo6ZSqXZ_it806oja4CctTLKs/edit?usp=share_link"",""พังงา!M157"")+IMPORTRANGE(""https://docs.google.com/spreadsheets/d/1"&amp;"b6QssHQp2FoAPSMKHOy273KNzAomaIKhtdlvuZ_zDNE/edit?usp=share_link"",""พัทลุง!M157"")+IMPORTRANGE(""https://docs.google.com/spreadsheets/d/1o7UZe4_OqlqtLDHrj01Z2YFRSZDf1DMy1n3XViHaxRc/edit?usp=share_link"",""ภูเก็ต!M157"")+IMPORTRANGE(""https://docs.google.c"&amp;"om/spreadsheets/d/1ctPm1vUzcUCPuOj9-eoHUD85PqINFqUB0TjdSWmR5-c/edit?usp=share_link"",""ยะลา!M157"")+IMPORTRANGE(""https://docs.google.com/spreadsheets/d/1YiDIE7Klmt8osgdapRqYWNr7iPGFSsiJqq46S7PYRE0/edit?usp=share_link"",""ระนอง!M157"")+IMPORTRANGE(""https"&amp;"://docs.google.com/spreadsheets/d/16o_4B-V7AWw_6E93bSpXj_XxVv1oVQctk-B6z1dNEWU/edit?usp=share_link"",""สงขลา!M157"")+IMPORTRANGE(""https://docs.google.com/spreadsheets/d/16cywr71Fj4fA5OGRHsZh30ZG2gwJhMAQv69oVBzYHv0/edit?usp=share_link"",""สตูล!M157"")+IMP"&amp;"ORTRANGE(""https://docs.google.com/spreadsheets/d/1vO9Sws6kMtrVtyvrAJptINXjK8TFBoX9xLYOVK_C8bQ/edit?usp=share_link"",""สุราษฎร์ธานี!M157"")"),0)</f>
        <v>0</v>
      </c>
      <c r="N157" s="45">
        <f ca="1">IFERROR(__xludf.DUMMYFUNCTION("IMPORTRANGE(""https://docs.google.com/spreadsheets/d/1kC41EOXpGBFOW658Fs3oD8beYlym0-zO54WY-2Qnp9I/edit?usp=share_link"",""กระบี่!N157"")
+IMPORTRANGE(""https://docs.google.com/spreadsheets/d/1FbzMZY_f3MDiEuK7RpCQKrilJ_kpX0Wm7QBZ1L7EjIU/edit?usp=share_link"&amp;""",""ชุมพร!N157"")+IMPORTRANGE(""https://docs.google.com/spreadsheets/d/1v5sN-00LrXuhBxw4dkh2GrG_z4l5oAqOdJRBCsUyMaM/edit?usp=share_link"",""ตรัง!N157"")+IMPORTRANGE(""https://docs.google.com/spreadsheets/d/1T5rRTzFc79aSIvqnzkZNvwPstq829QYz_xALlO1Z0s8/edi"&amp;"t?usp=share_link"",""นครศรีธรรมราช!N157"")+IMPORTRANGE(""https://docs.google.com/spreadsheets/d/1BeghqumK0IvCmRd2QOy6_afsZq7ZtAGrSnVJy2u7WmY/edit?usp=share_link"",""นราธิวาส!N157"")+IMPORTRANGE(""https://docs.google.com/spreadsheets/d/1IwnW3-jjRf74MCLW-6P"&amp;"iFwMUffRQXZwZA7YM609NmRc/edit?usp=share_link"",""ปัตตานี!N157"")+IMPORTRANGE(""https://docs.google.com/spreadsheets/d/1vl4QWbWdFruual5o_wdo6ZSqXZ_it806oja4CctTLKs/edit?usp=share_link"",""พังงา!N157"")+IMPORTRANGE(""https://docs.google.com/spreadsheets/d/1"&amp;"b6QssHQp2FoAPSMKHOy273KNzAomaIKhtdlvuZ_zDNE/edit?usp=share_link"",""พัทลุง!N157"")+IMPORTRANGE(""https://docs.google.com/spreadsheets/d/1o7UZe4_OqlqtLDHrj01Z2YFRSZDf1DMy1n3XViHaxRc/edit?usp=share_link"",""ภูเก็ต!N157"")+IMPORTRANGE(""https://docs.google.c"&amp;"om/spreadsheets/d/1ctPm1vUzcUCPuOj9-eoHUD85PqINFqUB0TjdSWmR5-c/edit?usp=share_link"",""ยะลา!N157"")+IMPORTRANGE(""https://docs.google.com/spreadsheets/d/1YiDIE7Klmt8osgdapRqYWNr7iPGFSsiJqq46S7PYRE0/edit?usp=share_link"",""ระนอง!N157"")+IMPORTRANGE(""https"&amp;"://docs.google.com/spreadsheets/d/16o_4B-V7AWw_6E93bSpXj_XxVv1oVQctk-B6z1dNEWU/edit?usp=share_link"",""สงขลา!N157"")+IMPORTRANGE(""https://docs.google.com/spreadsheets/d/16cywr71Fj4fA5OGRHsZh30ZG2gwJhMAQv69oVBzYHv0/edit?usp=share_link"",""สตูล!N157"")+IMP"&amp;"ORTRANGE(""https://docs.google.com/spreadsheets/d/1vO9Sws6kMtrVtyvrAJptINXjK8TFBoX9xLYOVK_C8bQ/edit?usp=share_link"",""สุราษฎร์ธานี!N157"")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IFERROR(__xludf.DUMMYFUNCTION("IMPORTRANGE(""https://docs.google.com/spreadsheets/d/1kC41EOXpGBFOW658Fs3oD8beYlym0-zO54WY-2Qnp9I/edit?usp=share_link"",""กระบี่!I159"")
+IMPORTRANGE(""https://docs.google.com/spreadsheets/d/1FbzMZY_f3MDiEuK7RpCQKrilJ_kpX0Wm7QBZ1L7EjIU/edit?usp=share_link"&amp;""",""ชุมพร!I159"")+IMPORTRANGE(""https://docs.google.com/spreadsheets/d/1v5sN-00LrXuhBxw4dkh2GrG_z4l5oAqOdJRBCsUyMaM/edit?usp=share_link"",""ตรัง!I159"")+IMPORTRANGE(""https://docs.google.com/spreadsheets/d/1T5rRTzFc79aSIvqnzkZNvwPstq829QYz_xALlO1Z0s8/edi"&amp;"t?usp=share_link"",""นครศรีธรรมราช!I159"")+IMPORTRANGE(""https://docs.google.com/spreadsheets/d/1BeghqumK0IvCmRd2QOy6_afsZq7ZtAGrSnVJy2u7WmY/edit?usp=share_link"",""นราธิวาส!I159"")+IMPORTRANGE(""https://docs.google.com/spreadsheets/d/1IwnW3-jjRf74MCLW-6P"&amp;"iFwMUffRQXZwZA7YM609NmRc/edit?usp=share_link"",""ปัตตานี!I159"")+IMPORTRANGE(""https://docs.google.com/spreadsheets/d/1vl4QWbWdFruual5o_wdo6ZSqXZ_it806oja4CctTLKs/edit?usp=share_link"",""พังงา!I159"")+IMPORTRANGE(""https://docs.google.com/spreadsheets/d/1"&amp;"b6QssHQp2FoAPSMKHOy273KNzAomaIKhtdlvuZ_zDNE/edit?usp=share_link"",""พัทลุง!I159"")+IMPORTRANGE(""https://docs.google.com/spreadsheets/d/1o7UZe4_OqlqtLDHrj01Z2YFRSZDf1DMy1n3XViHaxRc/edit?usp=share_link"",""ภูเก็ต!I159"")+IMPORTRANGE(""https://docs.google.c"&amp;"om/spreadsheets/d/1ctPm1vUzcUCPuOj9-eoHUD85PqINFqUB0TjdSWmR5-c/edit?usp=share_link"",""ยะลา!I159"")+IMPORTRANGE(""https://docs.google.com/spreadsheets/d/1YiDIE7Klmt8osgdapRqYWNr7iPGFSsiJqq46S7PYRE0/edit?usp=share_link"",""ระนอง!I159"")+IMPORTRANGE(""https"&amp;"://docs.google.com/spreadsheets/d/16o_4B-V7AWw_6E93bSpXj_XxVv1oVQctk-B6z1dNEWU/edit?usp=share_link"",""สงขลา!I159"")+IMPORTRANGE(""https://docs.google.com/spreadsheets/d/16cywr71Fj4fA5OGRHsZh30ZG2gwJhMAQv69oVBzYHv0/edit?usp=share_link"",""สตูล!I159"")+IMP"&amp;"ORTRANGE(""https://docs.google.com/spreadsheets/d/1vO9Sws6kMtrVtyvrAJptINXjK8TFBoX9xLYOVK_C8bQ/edit?usp=share_link"",""สุราษฎร์ธานี!I159"")"),40)</f>
        <v>40</v>
      </c>
      <c r="J159" s="183">
        <f ca="1">IFERROR(__xludf.DUMMYFUNCTION("IMPORTRANGE(""https://docs.google.com/spreadsheets/d/1kC41EOXpGBFOW658Fs3oD8beYlym0-zO54WY-2Qnp9I/edit?usp=share_link"",""กระบี่!J159"")
+IMPORTRANGE(""https://docs.google.com/spreadsheets/d/1FbzMZY_f3MDiEuK7RpCQKrilJ_kpX0Wm7QBZ1L7EjIU/edit?usp=share_link"&amp;""",""ชุมพร!J159"")+IMPORTRANGE(""https://docs.google.com/spreadsheets/d/1v5sN-00LrXuhBxw4dkh2GrG_z4l5oAqOdJRBCsUyMaM/edit?usp=share_link"",""ตรัง!J159"")+IMPORTRANGE(""https://docs.google.com/spreadsheets/d/1T5rRTzFc79aSIvqnzkZNvwPstq829QYz_xALlO1Z0s8/edi"&amp;"t?usp=share_link"",""นครศรีธรรมราช!J159"")+IMPORTRANGE(""https://docs.google.com/spreadsheets/d/1BeghqumK0IvCmRd2QOy6_afsZq7ZtAGrSnVJy2u7WmY/edit?usp=share_link"",""นราธิวาส!J159"")+IMPORTRANGE(""https://docs.google.com/spreadsheets/d/1IwnW3-jjRf74MCLW-6P"&amp;"iFwMUffRQXZwZA7YM609NmRc/edit?usp=share_link"",""ปัตตานี!J159"")+IMPORTRANGE(""https://docs.google.com/spreadsheets/d/1vl4QWbWdFruual5o_wdo6ZSqXZ_it806oja4CctTLKs/edit?usp=share_link"",""พังงา!J159"")+IMPORTRANGE(""https://docs.google.com/spreadsheets/d/1"&amp;"b6QssHQp2FoAPSMKHOy273KNzAomaIKhtdlvuZ_zDNE/edit?usp=share_link"",""พัทลุง!J159"")+IMPORTRANGE(""https://docs.google.com/spreadsheets/d/1o7UZe4_OqlqtLDHrj01Z2YFRSZDf1DMy1n3XViHaxRc/edit?usp=share_link"",""ภูเก็ต!J159"")+IMPORTRANGE(""https://docs.google.c"&amp;"om/spreadsheets/d/1ctPm1vUzcUCPuOj9-eoHUD85PqINFqUB0TjdSWmR5-c/edit?usp=share_link"",""ยะลา!J159"")+IMPORTRANGE(""https://docs.google.com/spreadsheets/d/1YiDIE7Klmt8osgdapRqYWNr7iPGFSsiJqq46S7PYRE0/edit?usp=share_link"",""ระนอง!J159"")+IMPORTRANGE(""https"&amp;"://docs.google.com/spreadsheets/d/16o_4B-V7AWw_6E93bSpXj_XxVv1oVQctk-B6z1dNEWU/edit?usp=share_link"",""สงขลา!J159"")+IMPORTRANGE(""https://docs.google.com/spreadsheets/d/16cywr71Fj4fA5OGRHsZh30ZG2gwJhMAQv69oVBzYHv0/edit?usp=share_link"",""สตูล!J159"")+IMP"&amp;"ORTRANGE(""https://docs.google.com/spreadsheets/d/1vO9Sws6kMtrVtyvrAJptINXjK8TFBoX9xLYOVK_C8bQ/edit?usp=share_link"",""สุราษฎร์ธานี!J159"")"),41)</f>
        <v>41</v>
      </c>
      <c r="K159" s="38">
        <f ca="1">IF(I159&gt;0,J159*100/I159,0)</f>
        <v>102.5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139</v>
      </c>
      <c r="J164" s="253">
        <f t="shared" ca="1" si="102"/>
        <v>139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271695</v>
      </c>
      <c r="M165" s="155">
        <f t="shared" ca="1" si="103"/>
        <v>499895</v>
      </c>
      <c r="N165" s="155">
        <f t="shared" ca="1" si="103"/>
        <v>498650</v>
      </c>
      <c r="O165" s="155">
        <f t="shared" ref="O165:O173" ca="1" si="104">IF(L165&gt;0,N165*100/L165,0)</f>
        <v>183.53300576013544</v>
      </c>
      <c r="P165" s="155">
        <f t="shared" ref="P165:P173" ca="1" si="105">IF(M165&gt;0,N165*100/M165,0)</f>
        <v>99.750947699016791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271695</v>
      </c>
      <c r="M167" s="45">
        <f t="shared" ca="1" si="107"/>
        <v>499895</v>
      </c>
      <c r="N167" s="45">
        <f t="shared" ca="1" si="107"/>
        <v>498650</v>
      </c>
      <c r="O167" s="45">
        <f t="shared" ca="1" si="104"/>
        <v>183.53300576013544</v>
      </c>
      <c r="P167" s="45">
        <f t="shared" ca="1" si="105"/>
        <v>99.750947699016791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271695</v>
      </c>
      <c r="M168" s="38">
        <f t="shared" ca="1" si="108"/>
        <v>499895</v>
      </c>
      <c r="N168" s="38">
        <f t="shared" ca="1" si="108"/>
        <v>498650</v>
      </c>
      <c r="O168" s="38">
        <f t="shared" ca="1" si="104"/>
        <v>183.53300576013544</v>
      </c>
      <c r="P168" s="38">
        <f t="shared" ca="1" si="105"/>
        <v>99.750947699016791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IFERROR(__xludf.DUMMYFUNCTION("IMPORTRANGE(""https://docs.google.com/spreadsheets/d/1kC41EOXpGBFOW658Fs3oD8beYlym0-zO54WY-2Qnp9I/edit?usp=share_link"",""กระบี่!L170"")
+IMPORTRANGE(""https://docs.google.com/spreadsheets/d/1FbzMZY_f3MDiEuK7RpCQKrilJ_kpX0Wm7QBZ1L7EjIU/edit?usp=share_link"&amp;""",""ชุมพร!L170"")+IMPORTRANGE(""https://docs.google.com/spreadsheets/d/1v5sN-00LrXuhBxw4dkh2GrG_z4l5oAqOdJRBCsUyMaM/edit?usp=share_link"",""ตรัง!L170"")+IMPORTRANGE(""https://docs.google.com/spreadsheets/d/1T5rRTzFc79aSIvqnzkZNvwPstq829QYz_xALlO1Z0s8/edi"&amp;"t?usp=share_link"",""นครศรีธรรมราช!L170"")+IMPORTRANGE(""https://docs.google.com/spreadsheets/d/1BeghqumK0IvCmRd2QOy6_afsZq7ZtAGrSnVJy2u7WmY/edit?usp=share_link"",""นราธิวาส!L170"")+IMPORTRANGE(""https://docs.google.com/spreadsheets/d/1IwnW3-jjRf74MCLW-6P"&amp;"iFwMUffRQXZwZA7YM609NmRc/edit?usp=share_link"",""ปัตตานี!L170"")+IMPORTRANGE(""https://docs.google.com/spreadsheets/d/1vl4QWbWdFruual5o_wdo6ZSqXZ_it806oja4CctTLKs/edit?usp=share_link"",""พังงา!L170"")+IMPORTRANGE(""https://docs.google.com/spreadsheets/d/1"&amp;"b6QssHQp2FoAPSMKHOy273KNzAomaIKhtdlvuZ_zDNE/edit?usp=share_link"",""พัทลุง!L170"")+IMPORTRANGE(""https://docs.google.com/spreadsheets/d/1o7UZe4_OqlqtLDHrj01Z2YFRSZDf1DMy1n3XViHaxRc/edit?usp=share_link"",""ภูเก็ต!L170"")+IMPORTRANGE(""https://docs.google.c"&amp;"om/spreadsheets/d/1ctPm1vUzcUCPuOj9-eoHUD85PqINFqUB0TjdSWmR5-c/edit?usp=share_link"",""ยะลา!L170"")+IMPORTRANGE(""https://docs.google.com/spreadsheets/d/1YiDIE7Klmt8osgdapRqYWNr7iPGFSsiJqq46S7PYRE0/edit?usp=share_link"",""ระนอง!L170"")+IMPORTRANGE(""https"&amp;"://docs.google.com/spreadsheets/d/16o_4B-V7AWw_6E93bSpXj_XxVv1oVQctk-B6z1dNEWU/edit?usp=share_link"",""สงขลา!L170"")+IMPORTRANGE(""https://docs.google.com/spreadsheets/d/16cywr71Fj4fA5OGRHsZh30ZG2gwJhMAQv69oVBzYHv0/edit?usp=share_link"",""สตูล!L170"")+IMP"&amp;"ORTRANGE(""https://docs.google.com/spreadsheets/d/1vO9Sws6kMtrVtyvrAJptINXjK8TFBoX9xLYOVK_C8bQ/edit?usp=share_link"",""สุราษฎร์ธานี!L170"")"),271695)</f>
        <v>271695</v>
      </c>
      <c r="M170" s="45">
        <f ca="1">IFERROR(__xludf.DUMMYFUNCTION("IMPORTRANGE(""https://docs.google.com/spreadsheets/d/1kC41EOXpGBFOW658Fs3oD8beYlym0-zO54WY-2Qnp9I/edit?usp=share_link"",""กระบี่!M170"")
+IMPORTRANGE(""https://docs.google.com/spreadsheets/d/1FbzMZY_f3MDiEuK7RpCQKrilJ_kpX0Wm7QBZ1L7EjIU/edit?usp=share_link"&amp;""",""ชุมพร!M170"")+IMPORTRANGE(""https://docs.google.com/spreadsheets/d/1v5sN-00LrXuhBxw4dkh2GrG_z4l5oAqOdJRBCsUyMaM/edit?usp=share_link"",""ตรัง!M170"")+IMPORTRANGE(""https://docs.google.com/spreadsheets/d/1T5rRTzFc79aSIvqnzkZNvwPstq829QYz_xALlO1Z0s8/edi"&amp;"t?usp=share_link"",""นครศรีธรรมราช!M170"")+IMPORTRANGE(""https://docs.google.com/spreadsheets/d/1BeghqumK0IvCmRd2QOy6_afsZq7ZtAGrSnVJy2u7WmY/edit?usp=share_link"",""นราธิวาส!M170"")+IMPORTRANGE(""https://docs.google.com/spreadsheets/d/1IwnW3-jjRf74MCLW-6P"&amp;"iFwMUffRQXZwZA7YM609NmRc/edit?usp=share_link"",""ปัตตานี!M170"")+IMPORTRANGE(""https://docs.google.com/spreadsheets/d/1vl4QWbWdFruual5o_wdo6ZSqXZ_it806oja4CctTLKs/edit?usp=share_link"",""พังงา!M170"")+IMPORTRANGE(""https://docs.google.com/spreadsheets/d/1"&amp;"b6QssHQp2FoAPSMKHOy273KNzAomaIKhtdlvuZ_zDNE/edit?usp=share_link"",""พัทลุง!M170"")+IMPORTRANGE(""https://docs.google.com/spreadsheets/d/1o7UZe4_OqlqtLDHrj01Z2YFRSZDf1DMy1n3XViHaxRc/edit?usp=share_link"",""ภูเก็ต!M170"")+IMPORTRANGE(""https://docs.google.c"&amp;"om/spreadsheets/d/1ctPm1vUzcUCPuOj9-eoHUD85PqINFqUB0TjdSWmR5-c/edit?usp=share_link"",""ยะลา!M170"")+IMPORTRANGE(""https://docs.google.com/spreadsheets/d/1YiDIE7Klmt8osgdapRqYWNr7iPGFSsiJqq46S7PYRE0/edit?usp=share_link"",""ระนอง!M170"")+IMPORTRANGE(""https"&amp;"://docs.google.com/spreadsheets/d/16o_4B-V7AWw_6E93bSpXj_XxVv1oVQctk-B6z1dNEWU/edit?usp=share_link"",""สงขลา!M170"")+IMPORTRANGE(""https://docs.google.com/spreadsheets/d/16cywr71Fj4fA5OGRHsZh30ZG2gwJhMAQv69oVBzYHv0/edit?usp=share_link"",""สตูล!M170"")+IMP"&amp;"ORTRANGE(""https://docs.google.com/spreadsheets/d/1vO9Sws6kMtrVtyvrAJptINXjK8TFBoX9xLYOVK_C8bQ/edit?usp=share_link"",""สุราษฎร์ธานี!M170"")"),499895)</f>
        <v>499895</v>
      </c>
      <c r="N170" s="45">
        <f ca="1">IFERROR(__xludf.DUMMYFUNCTION("IMPORTRANGE(""https://docs.google.com/spreadsheets/d/1kC41EOXpGBFOW658Fs3oD8beYlym0-zO54WY-2Qnp9I/edit?usp=share_link"",""กระบี่!N170"")
+IMPORTRANGE(""https://docs.google.com/spreadsheets/d/1FbzMZY_f3MDiEuK7RpCQKrilJ_kpX0Wm7QBZ1L7EjIU/edit?usp=share_link"&amp;""",""ชุมพร!N170"")+IMPORTRANGE(""https://docs.google.com/spreadsheets/d/1v5sN-00LrXuhBxw4dkh2GrG_z4l5oAqOdJRBCsUyMaM/edit?usp=share_link"",""ตรัง!N170"")+IMPORTRANGE(""https://docs.google.com/spreadsheets/d/1T5rRTzFc79aSIvqnzkZNvwPstq829QYz_xALlO1Z0s8/edi"&amp;"t?usp=share_link"",""นครศรีธรรมราช!N170"")+IMPORTRANGE(""https://docs.google.com/spreadsheets/d/1BeghqumK0IvCmRd2QOy6_afsZq7ZtAGrSnVJy2u7WmY/edit?usp=share_link"",""นราธิวาส!N170"")+IMPORTRANGE(""https://docs.google.com/spreadsheets/d/1IwnW3-jjRf74MCLW-6P"&amp;"iFwMUffRQXZwZA7YM609NmRc/edit?usp=share_link"",""ปัตตานี!N170"")+IMPORTRANGE(""https://docs.google.com/spreadsheets/d/1vl4QWbWdFruual5o_wdo6ZSqXZ_it806oja4CctTLKs/edit?usp=share_link"",""พังงา!N170"")+IMPORTRANGE(""https://docs.google.com/spreadsheets/d/1"&amp;"b6QssHQp2FoAPSMKHOy273KNzAomaIKhtdlvuZ_zDNE/edit?usp=share_link"",""พัทลุง!N170"")+IMPORTRANGE(""https://docs.google.com/spreadsheets/d/1o7UZe4_OqlqtLDHrj01Z2YFRSZDf1DMy1n3XViHaxRc/edit?usp=share_link"",""ภูเก็ต!N170"")+IMPORTRANGE(""https://docs.google.c"&amp;"om/spreadsheets/d/1ctPm1vUzcUCPuOj9-eoHUD85PqINFqUB0TjdSWmR5-c/edit?usp=share_link"",""ยะลา!N170"")+IMPORTRANGE(""https://docs.google.com/spreadsheets/d/1YiDIE7Klmt8osgdapRqYWNr7iPGFSsiJqq46S7PYRE0/edit?usp=share_link"",""ระนอง!N170"")+IMPORTRANGE(""https"&amp;"://docs.google.com/spreadsheets/d/16o_4B-V7AWw_6E93bSpXj_XxVv1oVQctk-B6z1dNEWU/edit?usp=share_link"",""สงขลา!N170"")+IMPORTRANGE(""https://docs.google.com/spreadsheets/d/16cywr71Fj4fA5OGRHsZh30ZG2gwJhMAQv69oVBzYHv0/edit?usp=share_link"",""สตูล!N170"")+IMP"&amp;"ORTRANGE(""https://docs.google.com/spreadsheets/d/1vO9Sws6kMtrVtyvrAJptINXjK8TFBoX9xLYOVK_C8bQ/edit?usp=share_link"",""สุราษฎร์ธานี!N170"")"),498650)</f>
        <v>498650</v>
      </c>
      <c r="O170" s="45">
        <f t="shared" ca="1" si="104"/>
        <v>183.53300576013544</v>
      </c>
      <c r="P170" s="45">
        <f t="shared" ca="1" si="105"/>
        <v>99.750947699016791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IFERROR(__xludf.DUMMYFUNCTION("IMPORTRANGE(""https://docs.google.com/spreadsheets/d/1kC41EOXpGBFOW658Fs3oD8beYlym0-zO54WY-2Qnp9I/edit?usp=share_link"",""กระบี่!L173"")
+IMPORTRANGE(""https://docs.google.com/spreadsheets/d/1FbzMZY_f3MDiEuK7RpCQKrilJ_kpX0Wm7QBZ1L7EjIU/edit?usp=share_link"&amp;""",""ชุมพร!L173"")+IMPORTRANGE(""https://docs.google.com/spreadsheets/d/1v5sN-00LrXuhBxw4dkh2GrG_z4l5oAqOdJRBCsUyMaM/edit?usp=share_link"",""ตรัง!L173"")+IMPORTRANGE(""https://docs.google.com/spreadsheets/d/1T5rRTzFc79aSIvqnzkZNvwPstq829QYz_xALlO1Z0s8/edi"&amp;"t?usp=share_link"",""นครศรีธรรมราช!L173"")+IMPORTRANGE(""https://docs.google.com/spreadsheets/d/1BeghqumK0IvCmRd2QOy6_afsZq7ZtAGrSnVJy2u7WmY/edit?usp=share_link"",""นราธิวาส!L173"")+IMPORTRANGE(""https://docs.google.com/spreadsheets/d/1IwnW3-jjRf74MCLW-6P"&amp;"iFwMUffRQXZwZA7YM609NmRc/edit?usp=share_link"",""ปัตตานี!L173"")+IMPORTRANGE(""https://docs.google.com/spreadsheets/d/1vl4QWbWdFruual5o_wdo6ZSqXZ_it806oja4CctTLKs/edit?usp=share_link"",""พังงา!L173"")+IMPORTRANGE(""https://docs.google.com/spreadsheets/d/1"&amp;"b6QssHQp2FoAPSMKHOy273KNzAomaIKhtdlvuZ_zDNE/edit?usp=share_link"",""พัทลุง!L173"")+IMPORTRANGE(""https://docs.google.com/spreadsheets/d/1o7UZe4_OqlqtLDHrj01Z2YFRSZDf1DMy1n3XViHaxRc/edit?usp=share_link"",""ภูเก็ต!L173"")+IMPORTRANGE(""https://docs.google.c"&amp;"om/spreadsheets/d/1ctPm1vUzcUCPuOj9-eoHUD85PqINFqUB0TjdSWmR5-c/edit?usp=share_link"",""ยะลา!L173"")+IMPORTRANGE(""https://docs.google.com/spreadsheets/d/1YiDIE7Klmt8osgdapRqYWNr7iPGFSsiJqq46S7PYRE0/edit?usp=share_link"",""ระนอง!L173"")+IMPORTRANGE(""https"&amp;"://docs.google.com/spreadsheets/d/16o_4B-V7AWw_6E93bSpXj_XxVv1oVQctk-B6z1dNEWU/edit?usp=share_link"",""สงขลา!L173"")+IMPORTRANGE(""https://docs.google.com/spreadsheets/d/16cywr71Fj4fA5OGRHsZh30ZG2gwJhMAQv69oVBzYHv0/edit?usp=share_link"",""สตูล!L173"")+IMP"&amp;"ORTRANGE(""https://docs.google.com/spreadsheets/d/1vO9Sws6kMtrVtyvrAJptINXjK8TFBoX9xLYOVK_C8bQ/edit?usp=share_link"",""สุราษฎร์ธานี!L173"")"),0)</f>
        <v>0</v>
      </c>
      <c r="M173" s="45">
        <f ca="1">IFERROR(__xludf.DUMMYFUNCTION("IMPORTRANGE(""https://docs.google.com/spreadsheets/d/1kC41EOXpGBFOW658Fs3oD8beYlym0-zO54WY-2Qnp9I/edit?usp=share_link"",""กระบี่!M173"")
+IMPORTRANGE(""https://docs.google.com/spreadsheets/d/1FbzMZY_f3MDiEuK7RpCQKrilJ_kpX0Wm7QBZ1L7EjIU/edit?usp=share_link"&amp;""",""ชุมพร!M173"")+IMPORTRANGE(""https://docs.google.com/spreadsheets/d/1v5sN-00LrXuhBxw4dkh2GrG_z4l5oAqOdJRBCsUyMaM/edit?usp=share_link"",""ตรัง!M173"")+IMPORTRANGE(""https://docs.google.com/spreadsheets/d/1T5rRTzFc79aSIvqnzkZNvwPstq829QYz_xALlO1Z0s8/edi"&amp;"t?usp=share_link"",""นครศรีธรรมราช!M173"")+IMPORTRANGE(""https://docs.google.com/spreadsheets/d/1BeghqumK0IvCmRd2QOy6_afsZq7ZtAGrSnVJy2u7WmY/edit?usp=share_link"",""นราธิวาส!M173"")+IMPORTRANGE(""https://docs.google.com/spreadsheets/d/1IwnW3-jjRf74MCLW-6P"&amp;"iFwMUffRQXZwZA7YM609NmRc/edit?usp=share_link"",""ปัตตานี!M173"")+IMPORTRANGE(""https://docs.google.com/spreadsheets/d/1vl4QWbWdFruual5o_wdo6ZSqXZ_it806oja4CctTLKs/edit?usp=share_link"",""พังงา!M173"")+IMPORTRANGE(""https://docs.google.com/spreadsheets/d/1"&amp;"b6QssHQp2FoAPSMKHOy273KNzAomaIKhtdlvuZ_zDNE/edit?usp=share_link"",""พัทลุง!M173"")+IMPORTRANGE(""https://docs.google.com/spreadsheets/d/1o7UZe4_OqlqtLDHrj01Z2YFRSZDf1DMy1n3XViHaxRc/edit?usp=share_link"",""ภูเก็ต!M173"")+IMPORTRANGE(""https://docs.google.c"&amp;"om/spreadsheets/d/1ctPm1vUzcUCPuOj9-eoHUD85PqINFqUB0TjdSWmR5-c/edit?usp=share_link"",""ยะลา!M173"")+IMPORTRANGE(""https://docs.google.com/spreadsheets/d/1YiDIE7Klmt8osgdapRqYWNr7iPGFSsiJqq46S7PYRE0/edit?usp=share_link"",""ระนอง!M173"")+IMPORTRANGE(""https"&amp;"://docs.google.com/spreadsheets/d/16o_4B-V7AWw_6E93bSpXj_XxVv1oVQctk-B6z1dNEWU/edit?usp=share_link"",""สงขลา!M173"")+IMPORTRANGE(""https://docs.google.com/spreadsheets/d/16cywr71Fj4fA5OGRHsZh30ZG2gwJhMAQv69oVBzYHv0/edit?usp=share_link"",""สตูล!M173"")+IMP"&amp;"ORTRANGE(""https://docs.google.com/spreadsheets/d/1vO9Sws6kMtrVtyvrAJptINXjK8TFBoX9xLYOVK_C8bQ/edit?usp=share_link"",""สุราษฎร์ธานี!M173"")"),0)</f>
        <v>0</v>
      </c>
      <c r="N173" s="45">
        <f ca="1">IFERROR(__xludf.DUMMYFUNCTION("IMPORTRANGE(""https://docs.google.com/spreadsheets/d/1kC41EOXpGBFOW658Fs3oD8beYlym0-zO54WY-2Qnp9I/edit?usp=share_link"",""กระบี่!N173"")
+IMPORTRANGE(""https://docs.google.com/spreadsheets/d/1FbzMZY_f3MDiEuK7RpCQKrilJ_kpX0Wm7QBZ1L7EjIU/edit?usp=share_link"&amp;""",""ชุมพร!N173"")+IMPORTRANGE(""https://docs.google.com/spreadsheets/d/1v5sN-00LrXuhBxw4dkh2GrG_z4l5oAqOdJRBCsUyMaM/edit?usp=share_link"",""ตรัง!N173"")+IMPORTRANGE(""https://docs.google.com/spreadsheets/d/1T5rRTzFc79aSIvqnzkZNvwPstq829QYz_xALlO1Z0s8/edi"&amp;"t?usp=share_link"",""นครศรีธรรมราช!N173"")+IMPORTRANGE(""https://docs.google.com/spreadsheets/d/1BeghqumK0IvCmRd2QOy6_afsZq7ZtAGrSnVJy2u7WmY/edit?usp=share_link"",""นราธิวาส!N173"")+IMPORTRANGE(""https://docs.google.com/spreadsheets/d/1IwnW3-jjRf74MCLW-6P"&amp;"iFwMUffRQXZwZA7YM609NmRc/edit?usp=share_link"",""ปัตตานี!N173"")+IMPORTRANGE(""https://docs.google.com/spreadsheets/d/1vl4QWbWdFruual5o_wdo6ZSqXZ_it806oja4CctTLKs/edit?usp=share_link"",""พังงา!N173"")+IMPORTRANGE(""https://docs.google.com/spreadsheets/d/1"&amp;"b6QssHQp2FoAPSMKHOy273KNzAomaIKhtdlvuZ_zDNE/edit?usp=share_link"",""พัทลุง!N173"")+IMPORTRANGE(""https://docs.google.com/spreadsheets/d/1o7UZe4_OqlqtLDHrj01Z2YFRSZDf1DMy1n3XViHaxRc/edit?usp=share_link"",""ภูเก็ต!N173"")+IMPORTRANGE(""https://docs.google.c"&amp;"om/spreadsheets/d/1ctPm1vUzcUCPuOj9-eoHUD85PqINFqUB0TjdSWmR5-c/edit?usp=share_link"",""ยะลา!N173"")+IMPORTRANGE(""https://docs.google.com/spreadsheets/d/1YiDIE7Klmt8osgdapRqYWNr7iPGFSsiJqq46S7PYRE0/edit?usp=share_link"",""ระนอง!N173"")+IMPORTRANGE(""https"&amp;"://docs.google.com/spreadsheets/d/16o_4B-V7AWw_6E93bSpXj_XxVv1oVQctk-B6z1dNEWU/edit?usp=share_link"",""สงขลา!N173"")+IMPORTRANGE(""https://docs.google.com/spreadsheets/d/16cywr71Fj4fA5OGRHsZh30ZG2gwJhMAQv69oVBzYHv0/edit?usp=share_link"",""สตูล!N173"")+IMP"&amp;"ORTRANGE(""https://docs.google.com/spreadsheets/d/1vO9Sws6kMtrVtyvrAJptINXjK8TFBoX9xLYOVK_C8bQ/edit?usp=share_link"",""สุราษฎร์ธานี!N173"")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139</v>
      </c>
      <c r="J174" s="261">
        <f t="shared" ca="1" si="110"/>
        <v>139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IFERROR(__xludf.DUMMYFUNCTION("IMPORTRANGE(""https://docs.google.com/spreadsheets/d/1kC41EOXpGBFOW658Fs3oD8beYlym0-zO54WY-2Qnp9I/edit?usp=share_link"",""กระบี่!I176"")
+IMPORTRANGE(""https://docs.google.com/spreadsheets/d/1FbzMZY_f3MDiEuK7RpCQKrilJ_kpX0Wm7QBZ1L7EjIU/edit?usp=share_link"&amp;""",""ชุมพร!I176"")+IMPORTRANGE(""https://docs.google.com/spreadsheets/d/1v5sN-00LrXuhBxw4dkh2GrG_z4l5oAqOdJRBCsUyMaM/edit?usp=share_link"",""ตรัง!I176"")+IMPORTRANGE(""https://docs.google.com/spreadsheets/d/1T5rRTzFc79aSIvqnzkZNvwPstq829QYz_xALlO1Z0s8/edi"&amp;"t?usp=share_link"",""นครศรีธรรมราช!I176"")+IMPORTRANGE(""https://docs.google.com/spreadsheets/d/1BeghqumK0IvCmRd2QOy6_afsZq7ZtAGrSnVJy2u7WmY/edit?usp=share_link"",""นราธิวาส!I176"")+IMPORTRANGE(""https://docs.google.com/spreadsheets/d/1IwnW3-jjRf74MCLW-6P"&amp;"iFwMUffRQXZwZA7YM609NmRc/edit?usp=share_link"",""ปัตตานี!I176"")+IMPORTRANGE(""https://docs.google.com/spreadsheets/d/1vl4QWbWdFruual5o_wdo6ZSqXZ_it806oja4CctTLKs/edit?usp=share_link"",""พังงา!I176"")+IMPORTRANGE(""https://docs.google.com/spreadsheets/d/1"&amp;"b6QssHQp2FoAPSMKHOy273KNzAomaIKhtdlvuZ_zDNE/edit?usp=share_link"",""พัทลุง!I176"")+IMPORTRANGE(""https://docs.google.com/spreadsheets/d/1o7UZe4_OqlqtLDHrj01Z2YFRSZDf1DMy1n3XViHaxRc/edit?usp=share_link"",""ภูเก็ต!I176"")+IMPORTRANGE(""https://docs.google.c"&amp;"om/spreadsheets/d/1ctPm1vUzcUCPuOj9-eoHUD85PqINFqUB0TjdSWmR5-c/edit?usp=share_link"",""ยะลา!I176"")+IMPORTRANGE(""https://docs.google.com/spreadsheets/d/1YiDIE7Klmt8osgdapRqYWNr7iPGFSsiJqq46S7PYRE0/edit?usp=share_link"",""ระนอง!I176"")+IMPORTRANGE(""https"&amp;"://docs.google.com/spreadsheets/d/16o_4B-V7AWw_6E93bSpXj_XxVv1oVQctk-B6z1dNEWU/edit?usp=share_link"",""สงขลา!I176"")+IMPORTRANGE(""https://docs.google.com/spreadsheets/d/16cywr71Fj4fA5OGRHsZh30ZG2gwJhMAQv69oVBzYHv0/edit?usp=share_link"",""สตูล!I176"")+IMP"&amp;"ORTRANGE(""https://docs.google.com/spreadsheets/d/1vO9Sws6kMtrVtyvrAJptINXjK8TFBoX9xLYOVK_C8bQ/edit?usp=share_link"",""สุราษฎร์ธานี!I176"")"),139)</f>
        <v>139</v>
      </c>
      <c r="J176" s="183">
        <f ca="1">IFERROR(__xludf.DUMMYFUNCTION("IMPORTRANGE(""https://docs.google.com/spreadsheets/d/1kC41EOXpGBFOW658Fs3oD8beYlym0-zO54WY-2Qnp9I/edit?usp=share_link"",""กระบี่!J176"")
+IMPORTRANGE(""https://docs.google.com/spreadsheets/d/1FbzMZY_f3MDiEuK7RpCQKrilJ_kpX0Wm7QBZ1L7EjIU/edit?usp=share_link"&amp;""",""ชุมพร!J176"")+IMPORTRANGE(""https://docs.google.com/spreadsheets/d/1v5sN-00LrXuhBxw4dkh2GrG_z4l5oAqOdJRBCsUyMaM/edit?usp=share_link"",""ตรัง!J176"")+IMPORTRANGE(""https://docs.google.com/spreadsheets/d/1T5rRTzFc79aSIvqnzkZNvwPstq829QYz_xALlO1Z0s8/edi"&amp;"t?usp=share_link"",""นครศรีธรรมราช!J176"")+IMPORTRANGE(""https://docs.google.com/spreadsheets/d/1BeghqumK0IvCmRd2QOy6_afsZq7ZtAGrSnVJy2u7WmY/edit?usp=share_link"",""นราธิวาส!J176"")+IMPORTRANGE(""https://docs.google.com/spreadsheets/d/1IwnW3-jjRf74MCLW-6P"&amp;"iFwMUffRQXZwZA7YM609NmRc/edit?usp=share_link"",""ปัตตานี!J176"")+IMPORTRANGE(""https://docs.google.com/spreadsheets/d/1vl4QWbWdFruual5o_wdo6ZSqXZ_it806oja4CctTLKs/edit?usp=share_link"",""พังงา!J176"")+IMPORTRANGE(""https://docs.google.com/spreadsheets/d/1"&amp;"b6QssHQp2FoAPSMKHOy273KNzAomaIKhtdlvuZ_zDNE/edit?usp=share_link"",""พัทลุง!J176"")+IMPORTRANGE(""https://docs.google.com/spreadsheets/d/1o7UZe4_OqlqtLDHrj01Z2YFRSZDf1DMy1n3XViHaxRc/edit?usp=share_link"",""ภูเก็ต!J176"")+IMPORTRANGE(""https://docs.google.c"&amp;"om/spreadsheets/d/1ctPm1vUzcUCPuOj9-eoHUD85PqINFqUB0TjdSWmR5-c/edit?usp=share_link"",""ยะลา!J176"")+IMPORTRANGE(""https://docs.google.com/spreadsheets/d/1YiDIE7Klmt8osgdapRqYWNr7iPGFSsiJqq46S7PYRE0/edit?usp=share_link"",""ระนอง!J176"")+IMPORTRANGE(""https"&amp;"://docs.google.com/spreadsheets/d/16o_4B-V7AWw_6E93bSpXj_XxVv1oVQctk-B6z1dNEWU/edit?usp=share_link"",""สงขลา!J176"")+IMPORTRANGE(""https://docs.google.com/spreadsheets/d/16cywr71Fj4fA5OGRHsZh30ZG2gwJhMAQv69oVBzYHv0/edit?usp=share_link"",""สตูล!J176"")+IMP"&amp;"ORTRANGE(""https://docs.google.com/spreadsheets/d/1vO9Sws6kMtrVtyvrAJptINXjK8TFBoX9xLYOVK_C8bQ/edit?usp=share_link"",""สุราษฎร์ธานี!J176"")"),139)</f>
        <v>139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140</v>
      </c>
      <c r="J180" s="253">
        <f t="shared" ca="1" si="111"/>
        <v>150</v>
      </c>
      <c r="K180" s="254">
        <f ca="1">IF(I180&gt;0,J180*100/I180,0)</f>
        <v>107.14285714285714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2070000</v>
      </c>
      <c r="M181" s="155">
        <f t="shared" ca="1" si="112"/>
        <v>2190250</v>
      </c>
      <c r="N181" s="155">
        <f t="shared" ca="1" si="112"/>
        <v>1681071.35</v>
      </c>
      <c r="O181" s="155">
        <f t="shared" ref="O181:O189" ca="1" si="113">IF(L181&gt;0,N181*100/L181,0)</f>
        <v>81.211176328502418</v>
      </c>
      <c r="P181" s="155">
        <f t="shared" ref="P181:P189" ca="1" si="114">IF(M181&gt;0,N181*100/M181,0)</f>
        <v>76.752487159000111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2070000</v>
      </c>
      <c r="M183" s="45">
        <f t="shared" ca="1" si="116"/>
        <v>2190250</v>
      </c>
      <c r="N183" s="45">
        <f t="shared" ca="1" si="116"/>
        <v>1681071.35</v>
      </c>
      <c r="O183" s="45">
        <f t="shared" ca="1" si="113"/>
        <v>81.211176328502418</v>
      </c>
      <c r="P183" s="45">
        <f t="shared" ca="1" si="114"/>
        <v>76.752487159000111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2070000</v>
      </c>
      <c r="M184" s="38">
        <f t="shared" ca="1" si="117"/>
        <v>2190250</v>
      </c>
      <c r="N184" s="38">
        <f t="shared" ca="1" si="117"/>
        <v>1681071.35</v>
      </c>
      <c r="O184" s="38">
        <f t="shared" ca="1" si="113"/>
        <v>81.211176328502418</v>
      </c>
      <c r="P184" s="38">
        <f t="shared" ca="1" si="114"/>
        <v>76.752487159000111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IFERROR(__xludf.DUMMYFUNCTION("IMPORTRANGE(""https://docs.google.com/spreadsheets/d/1kC41EOXpGBFOW658Fs3oD8beYlym0-zO54WY-2Qnp9I/edit?usp=share_link"",""กระบี่!L186"")
+IMPORTRANGE(""https://docs.google.com/spreadsheets/d/1FbzMZY_f3MDiEuK7RpCQKrilJ_kpX0Wm7QBZ1L7EjIU/edit?usp=share_link"&amp;""",""ชุมพร!L186"")+IMPORTRANGE(""https://docs.google.com/spreadsheets/d/1v5sN-00LrXuhBxw4dkh2GrG_z4l5oAqOdJRBCsUyMaM/edit?usp=share_link"",""ตรัง!L186"")+IMPORTRANGE(""https://docs.google.com/spreadsheets/d/1T5rRTzFc79aSIvqnzkZNvwPstq829QYz_xALlO1Z0s8/edi"&amp;"t?usp=share_link"",""นครศรีธรรมราช!L186"")+IMPORTRANGE(""https://docs.google.com/spreadsheets/d/1BeghqumK0IvCmRd2QOy6_afsZq7ZtAGrSnVJy2u7WmY/edit?usp=share_link"",""นราธิวาส!L186"")+IMPORTRANGE(""https://docs.google.com/spreadsheets/d/1IwnW3-jjRf74MCLW-6P"&amp;"iFwMUffRQXZwZA7YM609NmRc/edit?usp=share_link"",""ปัตตานี!L186"")+IMPORTRANGE(""https://docs.google.com/spreadsheets/d/1vl4QWbWdFruual5o_wdo6ZSqXZ_it806oja4CctTLKs/edit?usp=share_link"",""พังงา!L186"")+IMPORTRANGE(""https://docs.google.com/spreadsheets/d/1"&amp;"b6QssHQp2FoAPSMKHOy273KNzAomaIKhtdlvuZ_zDNE/edit?usp=share_link"",""พัทลุง!L186"")+IMPORTRANGE(""https://docs.google.com/spreadsheets/d/1o7UZe4_OqlqtLDHrj01Z2YFRSZDf1DMy1n3XViHaxRc/edit?usp=share_link"",""ภูเก็ต!L186"")+IMPORTRANGE(""https://docs.google.c"&amp;"om/spreadsheets/d/1ctPm1vUzcUCPuOj9-eoHUD85PqINFqUB0TjdSWmR5-c/edit?usp=share_link"",""ยะลา!L186"")+IMPORTRANGE(""https://docs.google.com/spreadsheets/d/1YiDIE7Klmt8osgdapRqYWNr7iPGFSsiJqq46S7PYRE0/edit?usp=share_link"",""ระนอง!L186"")+IMPORTRANGE(""https"&amp;"://docs.google.com/spreadsheets/d/16o_4B-V7AWw_6E93bSpXj_XxVv1oVQctk-B6z1dNEWU/edit?usp=share_link"",""สงขลา!L186"")+IMPORTRANGE(""https://docs.google.com/spreadsheets/d/16cywr71Fj4fA5OGRHsZh30ZG2gwJhMAQv69oVBzYHv0/edit?usp=share_link"",""สตูล!L186"")+IMP"&amp;"ORTRANGE(""https://docs.google.com/spreadsheets/d/1vO9Sws6kMtrVtyvrAJptINXjK8TFBoX9xLYOVK_C8bQ/edit?usp=share_link"",""สุราษฎร์ธานี!L186"")"),2070000)</f>
        <v>2070000</v>
      </c>
      <c r="M186" s="45">
        <f ca="1">IFERROR(__xludf.DUMMYFUNCTION("IMPORTRANGE(""https://docs.google.com/spreadsheets/d/1kC41EOXpGBFOW658Fs3oD8beYlym0-zO54WY-2Qnp9I/edit?usp=share_link"",""กระบี่!M186"")
+IMPORTRANGE(""https://docs.google.com/spreadsheets/d/1FbzMZY_f3MDiEuK7RpCQKrilJ_kpX0Wm7QBZ1L7EjIU/edit?usp=share_link"&amp;""",""ชุมพร!M186"")+IMPORTRANGE(""https://docs.google.com/spreadsheets/d/1v5sN-00LrXuhBxw4dkh2GrG_z4l5oAqOdJRBCsUyMaM/edit?usp=share_link"",""ตรัง!M186"")+IMPORTRANGE(""https://docs.google.com/spreadsheets/d/1T5rRTzFc79aSIvqnzkZNvwPstq829QYz_xALlO1Z0s8/edi"&amp;"t?usp=share_link"",""นครศรีธรรมราช!M186"")+IMPORTRANGE(""https://docs.google.com/spreadsheets/d/1BeghqumK0IvCmRd2QOy6_afsZq7ZtAGrSnVJy2u7WmY/edit?usp=share_link"",""นราธิวาส!M186"")+IMPORTRANGE(""https://docs.google.com/spreadsheets/d/1IwnW3-jjRf74MCLW-6P"&amp;"iFwMUffRQXZwZA7YM609NmRc/edit?usp=share_link"",""ปัตตานี!M186"")+IMPORTRANGE(""https://docs.google.com/spreadsheets/d/1vl4QWbWdFruual5o_wdo6ZSqXZ_it806oja4CctTLKs/edit?usp=share_link"",""พังงา!M186"")+IMPORTRANGE(""https://docs.google.com/spreadsheets/d/1"&amp;"b6QssHQp2FoAPSMKHOy273KNzAomaIKhtdlvuZ_zDNE/edit?usp=share_link"",""พัทลุง!M186"")+IMPORTRANGE(""https://docs.google.com/spreadsheets/d/1o7UZe4_OqlqtLDHrj01Z2YFRSZDf1DMy1n3XViHaxRc/edit?usp=share_link"",""ภูเก็ต!M186"")+IMPORTRANGE(""https://docs.google.c"&amp;"om/spreadsheets/d/1ctPm1vUzcUCPuOj9-eoHUD85PqINFqUB0TjdSWmR5-c/edit?usp=share_link"",""ยะลา!M186"")+IMPORTRANGE(""https://docs.google.com/spreadsheets/d/1YiDIE7Klmt8osgdapRqYWNr7iPGFSsiJqq46S7PYRE0/edit?usp=share_link"",""ระนอง!M186"")+IMPORTRANGE(""https"&amp;"://docs.google.com/spreadsheets/d/16o_4B-V7AWw_6E93bSpXj_XxVv1oVQctk-B6z1dNEWU/edit?usp=share_link"",""สงขลา!M186"")+IMPORTRANGE(""https://docs.google.com/spreadsheets/d/16cywr71Fj4fA5OGRHsZh30ZG2gwJhMAQv69oVBzYHv0/edit?usp=share_link"",""สตูล!M186"")+IMP"&amp;"ORTRANGE(""https://docs.google.com/spreadsheets/d/1vO9Sws6kMtrVtyvrAJptINXjK8TFBoX9xLYOVK_C8bQ/edit?usp=share_link"",""สุราษฎร์ธานี!M186"")"),2190250)</f>
        <v>2190250</v>
      </c>
      <c r="N186" s="45">
        <f ca="1">IFERROR(__xludf.DUMMYFUNCTION("IMPORTRANGE(""https://docs.google.com/spreadsheets/d/1kC41EOXpGBFOW658Fs3oD8beYlym0-zO54WY-2Qnp9I/edit?usp=share_link"",""กระบี่!N186"")
+IMPORTRANGE(""https://docs.google.com/spreadsheets/d/1FbzMZY_f3MDiEuK7RpCQKrilJ_kpX0Wm7QBZ1L7EjIU/edit?usp=share_link"&amp;""",""ชุมพร!N186"")+IMPORTRANGE(""https://docs.google.com/spreadsheets/d/1v5sN-00LrXuhBxw4dkh2GrG_z4l5oAqOdJRBCsUyMaM/edit?usp=share_link"",""ตรัง!N186"")+IMPORTRANGE(""https://docs.google.com/spreadsheets/d/1T5rRTzFc79aSIvqnzkZNvwPstq829QYz_xALlO1Z0s8/edi"&amp;"t?usp=share_link"",""นครศรีธรรมราช!N186"")+IMPORTRANGE(""https://docs.google.com/spreadsheets/d/1BeghqumK0IvCmRd2QOy6_afsZq7ZtAGrSnVJy2u7WmY/edit?usp=share_link"",""นราธิวาส!N186"")+IMPORTRANGE(""https://docs.google.com/spreadsheets/d/1IwnW3-jjRf74MCLW-6P"&amp;"iFwMUffRQXZwZA7YM609NmRc/edit?usp=share_link"",""ปัตตานี!N186"")+IMPORTRANGE(""https://docs.google.com/spreadsheets/d/1vl4QWbWdFruual5o_wdo6ZSqXZ_it806oja4CctTLKs/edit?usp=share_link"",""พังงา!N186"")+IMPORTRANGE(""https://docs.google.com/spreadsheets/d/1"&amp;"b6QssHQp2FoAPSMKHOy273KNzAomaIKhtdlvuZ_zDNE/edit?usp=share_link"",""พัทลุง!N186"")+IMPORTRANGE(""https://docs.google.com/spreadsheets/d/1o7UZe4_OqlqtLDHrj01Z2YFRSZDf1DMy1n3XViHaxRc/edit?usp=share_link"",""ภูเก็ต!N186"")+IMPORTRANGE(""https://docs.google.c"&amp;"om/spreadsheets/d/1ctPm1vUzcUCPuOj9-eoHUD85PqINFqUB0TjdSWmR5-c/edit?usp=share_link"",""ยะลา!N186"")+IMPORTRANGE(""https://docs.google.com/spreadsheets/d/1YiDIE7Klmt8osgdapRqYWNr7iPGFSsiJqq46S7PYRE0/edit?usp=share_link"",""ระนอง!N186"")+IMPORTRANGE(""https"&amp;"://docs.google.com/spreadsheets/d/16o_4B-V7AWw_6E93bSpXj_XxVv1oVQctk-B6z1dNEWU/edit?usp=share_link"",""สงขลา!N186"")+IMPORTRANGE(""https://docs.google.com/spreadsheets/d/16cywr71Fj4fA5OGRHsZh30ZG2gwJhMAQv69oVBzYHv0/edit?usp=share_link"",""สตูล!N186"")+IMP"&amp;"ORTRANGE(""https://docs.google.com/spreadsheets/d/1vO9Sws6kMtrVtyvrAJptINXjK8TFBoX9xLYOVK_C8bQ/edit?usp=share_link"",""สุราษฎร์ธานี!N186"")"),1681071.35)</f>
        <v>1681071.35</v>
      </c>
      <c r="O186" s="45">
        <f t="shared" ca="1" si="113"/>
        <v>81.211176328502418</v>
      </c>
      <c r="P186" s="45">
        <f t="shared" ca="1" si="114"/>
        <v>76.752487159000111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IFERROR(__xludf.DUMMYFUNCTION("IMPORTRANGE(""https://docs.google.com/spreadsheets/d/1kC41EOXpGBFOW658Fs3oD8beYlym0-zO54WY-2Qnp9I/edit?usp=share_link"",""กระบี่!L189"")
+IMPORTRANGE(""https://docs.google.com/spreadsheets/d/1FbzMZY_f3MDiEuK7RpCQKrilJ_kpX0Wm7QBZ1L7EjIU/edit?usp=share_link"&amp;""",""ชุมพร!L189"")+IMPORTRANGE(""https://docs.google.com/spreadsheets/d/1v5sN-00LrXuhBxw4dkh2GrG_z4l5oAqOdJRBCsUyMaM/edit?usp=share_link"",""ตรัง!L189"")+IMPORTRANGE(""https://docs.google.com/spreadsheets/d/1T5rRTzFc79aSIvqnzkZNvwPstq829QYz_xALlO1Z0s8/edi"&amp;"t?usp=share_link"",""นครศรีธรรมราช!L189"")+IMPORTRANGE(""https://docs.google.com/spreadsheets/d/1BeghqumK0IvCmRd2QOy6_afsZq7ZtAGrSnVJy2u7WmY/edit?usp=share_link"",""นราธิวาส!L189"")+IMPORTRANGE(""https://docs.google.com/spreadsheets/d/1IwnW3-jjRf74MCLW-6P"&amp;"iFwMUffRQXZwZA7YM609NmRc/edit?usp=share_link"",""ปัตตานี!L189"")+IMPORTRANGE(""https://docs.google.com/spreadsheets/d/1vl4QWbWdFruual5o_wdo6ZSqXZ_it806oja4CctTLKs/edit?usp=share_link"",""พังงา!L189"")+IMPORTRANGE(""https://docs.google.com/spreadsheets/d/1"&amp;"b6QssHQp2FoAPSMKHOy273KNzAomaIKhtdlvuZ_zDNE/edit?usp=share_link"",""พัทลุง!L189"")+IMPORTRANGE(""https://docs.google.com/spreadsheets/d/1o7UZe4_OqlqtLDHrj01Z2YFRSZDf1DMy1n3XViHaxRc/edit?usp=share_link"",""ภูเก็ต!L189"")+IMPORTRANGE(""https://docs.google.c"&amp;"om/spreadsheets/d/1ctPm1vUzcUCPuOj9-eoHUD85PqINFqUB0TjdSWmR5-c/edit?usp=share_link"",""ยะลา!L189"")+IMPORTRANGE(""https://docs.google.com/spreadsheets/d/1YiDIE7Klmt8osgdapRqYWNr7iPGFSsiJqq46S7PYRE0/edit?usp=share_link"",""ระนอง!L189"")+IMPORTRANGE(""https"&amp;"://docs.google.com/spreadsheets/d/16o_4B-V7AWw_6E93bSpXj_XxVv1oVQctk-B6z1dNEWU/edit?usp=share_link"",""สงขลา!L189"")+IMPORTRANGE(""https://docs.google.com/spreadsheets/d/16cywr71Fj4fA5OGRHsZh30ZG2gwJhMAQv69oVBzYHv0/edit?usp=share_link"",""สตูล!L189"")+IMP"&amp;"ORTRANGE(""https://docs.google.com/spreadsheets/d/1vO9Sws6kMtrVtyvrAJptINXjK8TFBoX9xLYOVK_C8bQ/edit?usp=share_link"",""สุราษฎร์ธานี!L189"")"),0)</f>
        <v>0</v>
      </c>
      <c r="M189" s="45">
        <f ca="1">IFERROR(__xludf.DUMMYFUNCTION("IMPORTRANGE(""https://docs.google.com/spreadsheets/d/1kC41EOXpGBFOW658Fs3oD8beYlym0-zO54WY-2Qnp9I/edit?usp=share_link"",""กระบี่!M189"")
+IMPORTRANGE(""https://docs.google.com/spreadsheets/d/1FbzMZY_f3MDiEuK7RpCQKrilJ_kpX0Wm7QBZ1L7EjIU/edit?usp=share_link"&amp;""",""ชุมพร!M189"")+IMPORTRANGE(""https://docs.google.com/spreadsheets/d/1v5sN-00LrXuhBxw4dkh2GrG_z4l5oAqOdJRBCsUyMaM/edit?usp=share_link"",""ตรัง!M189"")+IMPORTRANGE(""https://docs.google.com/spreadsheets/d/1T5rRTzFc79aSIvqnzkZNvwPstq829QYz_xALlO1Z0s8/edi"&amp;"t?usp=share_link"",""นครศรีธรรมราช!M189"")+IMPORTRANGE(""https://docs.google.com/spreadsheets/d/1BeghqumK0IvCmRd2QOy6_afsZq7ZtAGrSnVJy2u7WmY/edit?usp=share_link"",""นราธิวาส!M189"")+IMPORTRANGE(""https://docs.google.com/spreadsheets/d/1IwnW3-jjRf74MCLW-6P"&amp;"iFwMUffRQXZwZA7YM609NmRc/edit?usp=share_link"",""ปัตตานี!M189"")+IMPORTRANGE(""https://docs.google.com/spreadsheets/d/1vl4QWbWdFruual5o_wdo6ZSqXZ_it806oja4CctTLKs/edit?usp=share_link"",""พังงา!M189"")+IMPORTRANGE(""https://docs.google.com/spreadsheets/d/1"&amp;"b6QssHQp2FoAPSMKHOy273KNzAomaIKhtdlvuZ_zDNE/edit?usp=share_link"",""พัทลุง!M189"")+IMPORTRANGE(""https://docs.google.com/spreadsheets/d/1o7UZe4_OqlqtLDHrj01Z2YFRSZDf1DMy1n3XViHaxRc/edit?usp=share_link"",""ภูเก็ต!M189"")+IMPORTRANGE(""https://docs.google.c"&amp;"om/spreadsheets/d/1ctPm1vUzcUCPuOj9-eoHUD85PqINFqUB0TjdSWmR5-c/edit?usp=share_link"",""ยะลา!M189"")+IMPORTRANGE(""https://docs.google.com/spreadsheets/d/1YiDIE7Klmt8osgdapRqYWNr7iPGFSsiJqq46S7PYRE0/edit?usp=share_link"",""ระนอง!M189"")+IMPORTRANGE(""https"&amp;"://docs.google.com/spreadsheets/d/16o_4B-V7AWw_6E93bSpXj_XxVv1oVQctk-B6z1dNEWU/edit?usp=share_link"",""สงขลา!M189"")+IMPORTRANGE(""https://docs.google.com/spreadsheets/d/16cywr71Fj4fA5OGRHsZh30ZG2gwJhMAQv69oVBzYHv0/edit?usp=share_link"",""สตูล!M189"")+IMP"&amp;"ORTRANGE(""https://docs.google.com/spreadsheets/d/1vO9Sws6kMtrVtyvrAJptINXjK8TFBoX9xLYOVK_C8bQ/edit?usp=share_link"",""สุราษฎร์ธานี!M189"")"),0)</f>
        <v>0</v>
      </c>
      <c r="N189" s="45">
        <f ca="1">IFERROR(__xludf.DUMMYFUNCTION("IMPORTRANGE(""https://docs.google.com/spreadsheets/d/1kC41EOXpGBFOW658Fs3oD8beYlym0-zO54WY-2Qnp9I/edit?usp=share_link"",""กระบี่!N189"")
+IMPORTRANGE(""https://docs.google.com/spreadsheets/d/1FbzMZY_f3MDiEuK7RpCQKrilJ_kpX0Wm7QBZ1L7EjIU/edit?usp=share_link"&amp;""",""ชุมพร!N189"")+IMPORTRANGE(""https://docs.google.com/spreadsheets/d/1v5sN-00LrXuhBxw4dkh2GrG_z4l5oAqOdJRBCsUyMaM/edit?usp=share_link"",""ตรัง!N189"")+IMPORTRANGE(""https://docs.google.com/spreadsheets/d/1T5rRTzFc79aSIvqnzkZNvwPstq829QYz_xALlO1Z0s8/edi"&amp;"t?usp=share_link"",""นครศรีธรรมราช!N189"")+IMPORTRANGE(""https://docs.google.com/spreadsheets/d/1BeghqumK0IvCmRd2QOy6_afsZq7ZtAGrSnVJy2u7WmY/edit?usp=share_link"",""นราธิวาส!N189"")+IMPORTRANGE(""https://docs.google.com/spreadsheets/d/1IwnW3-jjRf74MCLW-6P"&amp;"iFwMUffRQXZwZA7YM609NmRc/edit?usp=share_link"",""ปัตตานี!N189"")+IMPORTRANGE(""https://docs.google.com/spreadsheets/d/1vl4QWbWdFruual5o_wdo6ZSqXZ_it806oja4CctTLKs/edit?usp=share_link"",""พังงา!N189"")+IMPORTRANGE(""https://docs.google.com/spreadsheets/d/1"&amp;"b6QssHQp2FoAPSMKHOy273KNzAomaIKhtdlvuZ_zDNE/edit?usp=share_link"",""พัทลุง!N189"")+IMPORTRANGE(""https://docs.google.com/spreadsheets/d/1o7UZe4_OqlqtLDHrj01Z2YFRSZDf1DMy1n3XViHaxRc/edit?usp=share_link"",""ภูเก็ต!N189"")+IMPORTRANGE(""https://docs.google.c"&amp;"om/spreadsheets/d/1ctPm1vUzcUCPuOj9-eoHUD85PqINFqUB0TjdSWmR5-c/edit?usp=share_link"",""ยะลา!N189"")+IMPORTRANGE(""https://docs.google.com/spreadsheets/d/1YiDIE7Klmt8osgdapRqYWNr7iPGFSsiJqq46S7PYRE0/edit?usp=share_link"",""ระนอง!N189"")+IMPORTRANGE(""https"&amp;"://docs.google.com/spreadsheets/d/16o_4B-V7AWw_6E93bSpXj_XxVv1oVQctk-B6z1dNEWU/edit?usp=share_link"",""สงขลา!N189"")+IMPORTRANGE(""https://docs.google.com/spreadsheets/d/16cywr71Fj4fA5OGRHsZh30ZG2gwJhMAQv69oVBzYHv0/edit?usp=share_link"",""สตูล!N189"")+IMP"&amp;"ORTRANGE(""https://docs.google.com/spreadsheets/d/1vO9Sws6kMtrVtyvrAJptINXjK8TFBoX9xLYOVK_C8bQ/edit?usp=share_link"",""สุราษฎร์ธานี!N189"")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56</v>
      </c>
      <c r="J190" s="272">
        <f t="shared" ca="1" si="119"/>
        <v>38</v>
      </c>
      <c r="K190" s="273">
        <f ca="1">IF(I190&gt;0,J190*100/I190,0)</f>
        <v>67.857142857142861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IFERROR(__xludf.DUMMYFUNCTION("IMPORTRANGE(""https://docs.google.com/spreadsheets/d/1kC41EOXpGBFOW658Fs3oD8beYlym0-zO54WY-2Qnp9I/edit?usp=share_link"",""กระบี่!L191"")
+IMPORTRANGE(""https://docs.google.com/spreadsheets/d/1FbzMZY_f3MDiEuK7RpCQKrilJ_kpX0Wm7QBZ1L7EjIU/edit?usp=share_link"&amp;""",""ชุมพร!L191"")+IMPORTRANGE(""https://docs.google.com/spreadsheets/d/1v5sN-00LrXuhBxw4dkh2GrG_z4l5oAqOdJRBCsUyMaM/edit?usp=share_link"",""ตรัง!L191"")+IMPORTRANGE(""https://docs.google.com/spreadsheets/d/1T5rRTzFc79aSIvqnzkZNvwPstq829QYz_xALlO1Z0s8/edi"&amp;"t?usp=share_link"",""นครศรีธรรมราช!L191"")+IMPORTRANGE(""https://docs.google.com/spreadsheets/d/1BeghqumK0IvCmRd2QOy6_afsZq7ZtAGrSnVJy2u7WmY/edit?usp=share_link"",""นราธิวาส!L191"")+IMPORTRANGE(""https://docs.google.com/spreadsheets/d/1IwnW3-jjRf74MCLW-6P"&amp;"iFwMUffRQXZwZA7YM609NmRc/edit?usp=share_link"",""ปัตตานี!L191"")+IMPORTRANGE(""https://docs.google.com/spreadsheets/d/1vl4QWbWdFruual5o_wdo6ZSqXZ_it806oja4CctTLKs/edit?usp=share_link"",""พังงา!L191"")+IMPORTRANGE(""https://docs.google.com/spreadsheets/d/1"&amp;"b6QssHQp2FoAPSMKHOy273KNzAomaIKhtdlvuZ_zDNE/edit?usp=share_link"",""พัทลุง!L191"")+IMPORTRANGE(""https://docs.google.com/spreadsheets/d/1o7UZe4_OqlqtLDHrj01Z2YFRSZDf1DMy1n3XViHaxRc/edit?usp=share_link"",""ภูเก็ต!L191"")+IMPORTRANGE(""https://docs.google.c"&amp;"om/spreadsheets/d/1ctPm1vUzcUCPuOj9-eoHUD85PqINFqUB0TjdSWmR5-c/edit?usp=share_link"",""ยะลา!L191"")+IMPORTRANGE(""https://docs.google.com/spreadsheets/d/1YiDIE7Klmt8osgdapRqYWNr7iPGFSsiJqq46S7PYRE0/edit?usp=share_link"",""ระนอง!L191"")+IMPORTRANGE(""https"&amp;"://docs.google.com/spreadsheets/d/16o_4B-V7AWw_6E93bSpXj_XxVv1oVQctk-B6z1dNEWU/edit?usp=share_link"",""สงขลา!L191"")+IMPORTRANGE(""https://docs.google.com/spreadsheets/d/16cywr71Fj4fA5OGRHsZh30ZG2gwJhMAQv69oVBzYHv0/edit?usp=share_link"",""สตูล!L191"")+IMP"&amp;"ORTRANGE(""https://docs.google.com/spreadsheets/d/1vO9Sws6kMtrVtyvrAJptINXjK8TFBoX9xLYOVK_C8bQ/edit?usp=share_link"",""สุราษฎร์ธานี!L191"")"),84000)</f>
        <v>84000</v>
      </c>
      <c r="M191" s="155"/>
      <c r="N191" s="276">
        <f ca="1">IFERROR(__xludf.DUMMYFUNCTION("IMPORTRANGE(""https://docs.google.com/spreadsheets/d/1kC41EOXpGBFOW658Fs3oD8beYlym0-zO54WY-2Qnp9I/edit?usp=share_link"",""กระบี่!N191"")
+IMPORTRANGE(""https://docs.google.com/spreadsheets/d/1FbzMZY_f3MDiEuK7RpCQKrilJ_kpX0Wm7QBZ1L7EjIU/edit?usp=share_link"&amp;""",""ชุมพร!N191"")+IMPORTRANGE(""https://docs.google.com/spreadsheets/d/1v5sN-00LrXuhBxw4dkh2GrG_z4l5oAqOdJRBCsUyMaM/edit?usp=share_link"",""ตรัง!N191"")+IMPORTRANGE(""https://docs.google.com/spreadsheets/d/1T5rRTzFc79aSIvqnzkZNvwPstq829QYz_xALlO1Z0s8/edi"&amp;"t?usp=share_link"",""นครศรีธรรมราช!N191"")+IMPORTRANGE(""https://docs.google.com/spreadsheets/d/1BeghqumK0IvCmRd2QOy6_afsZq7ZtAGrSnVJy2u7WmY/edit?usp=share_link"",""นราธิวาส!N191"")+IMPORTRANGE(""https://docs.google.com/spreadsheets/d/1IwnW3-jjRf74MCLW-6P"&amp;"iFwMUffRQXZwZA7YM609NmRc/edit?usp=share_link"",""ปัตตานี!N191"")+IMPORTRANGE(""https://docs.google.com/spreadsheets/d/1vl4QWbWdFruual5o_wdo6ZSqXZ_it806oja4CctTLKs/edit?usp=share_link"",""พังงา!N191"")+IMPORTRANGE(""https://docs.google.com/spreadsheets/d/1"&amp;"b6QssHQp2FoAPSMKHOy273KNzAomaIKhtdlvuZ_zDNE/edit?usp=share_link"",""พัทลุง!N191"")+IMPORTRANGE(""https://docs.google.com/spreadsheets/d/1o7UZe4_OqlqtLDHrj01Z2YFRSZDf1DMy1n3XViHaxRc/edit?usp=share_link"",""ภูเก็ต!N191"")+IMPORTRANGE(""https://docs.google.c"&amp;"om/spreadsheets/d/1ctPm1vUzcUCPuOj9-eoHUD85PqINFqUB0TjdSWmR5-c/edit?usp=share_link"",""ยะลา!N191"")+IMPORTRANGE(""https://docs.google.com/spreadsheets/d/1YiDIE7Klmt8osgdapRqYWNr7iPGFSsiJqq46S7PYRE0/edit?usp=share_link"",""ระนอง!N191"")+IMPORTRANGE(""https"&amp;"://docs.google.com/spreadsheets/d/16o_4B-V7AWw_6E93bSpXj_XxVv1oVQctk-B6z1dNEWU/edit?usp=share_link"",""สงขลา!N191"")+IMPORTRANGE(""https://docs.google.com/spreadsheets/d/16cywr71Fj4fA5OGRHsZh30ZG2gwJhMAQv69oVBzYHv0/edit?usp=share_link"",""สตูล!N191"")+IMP"&amp;"ORTRANGE(""https://docs.google.com/spreadsheets/d/1vO9Sws6kMtrVtyvrAJptINXjK8TFBoX9xLYOVK_C8bQ/edit?usp=share_link"",""สุราษฎร์ธานี!N191"")"),51961)</f>
        <v>51961</v>
      </c>
      <c r="O191" s="155">
        <f ca="1">IF(L191&gt;0,N191*100/L191,0)</f>
        <v>61.858333333333334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IFERROR(__xludf.DUMMYFUNCTION("IMPORTRANGE(""https://docs.google.com/spreadsheets/d/1kC41EOXpGBFOW658Fs3oD8beYlym0-zO54WY-2Qnp9I/edit?usp=share_link"",""กระบี่!I193"")
+IMPORTRANGE(""https://docs.google.com/spreadsheets/d/1FbzMZY_f3MDiEuK7RpCQKrilJ_kpX0Wm7QBZ1L7EjIU/edit?usp=share_link"&amp;""",""ชุมพร!I193"")+IMPORTRANGE(""https://docs.google.com/spreadsheets/d/1v5sN-00LrXuhBxw4dkh2GrG_z4l5oAqOdJRBCsUyMaM/edit?usp=share_link"",""ตรัง!I193"")+IMPORTRANGE(""https://docs.google.com/spreadsheets/d/1T5rRTzFc79aSIvqnzkZNvwPstq829QYz_xALlO1Z0s8/edi"&amp;"t?usp=share_link"",""นครศรีธรรมราช!I193"")+IMPORTRANGE(""https://docs.google.com/spreadsheets/d/1BeghqumK0IvCmRd2QOy6_afsZq7ZtAGrSnVJy2u7WmY/edit?usp=share_link"",""นราธิวาส!I193"")+IMPORTRANGE(""https://docs.google.com/spreadsheets/d/1IwnW3-jjRf74MCLW-6P"&amp;"iFwMUffRQXZwZA7YM609NmRc/edit?usp=share_link"",""ปัตตานี!I193"")+IMPORTRANGE(""https://docs.google.com/spreadsheets/d/1vl4QWbWdFruual5o_wdo6ZSqXZ_it806oja4CctTLKs/edit?usp=share_link"",""พังงา!I193"")+IMPORTRANGE(""https://docs.google.com/spreadsheets/d/1"&amp;"b6QssHQp2FoAPSMKHOy273KNzAomaIKhtdlvuZ_zDNE/edit?usp=share_link"",""พัทลุง!I193"")+IMPORTRANGE(""https://docs.google.com/spreadsheets/d/1o7UZe4_OqlqtLDHrj01Z2YFRSZDf1DMy1n3XViHaxRc/edit?usp=share_link"",""ภูเก็ต!I193"")+IMPORTRANGE(""https://docs.google.c"&amp;"om/spreadsheets/d/1ctPm1vUzcUCPuOj9-eoHUD85PqINFqUB0TjdSWmR5-c/edit?usp=share_link"",""ยะลา!I193"")+IMPORTRANGE(""https://docs.google.com/spreadsheets/d/1YiDIE7Klmt8osgdapRqYWNr7iPGFSsiJqq46S7PYRE0/edit?usp=share_link"",""ระนอง!I193"")+IMPORTRANGE(""https"&amp;"://docs.google.com/spreadsheets/d/16o_4B-V7AWw_6E93bSpXj_XxVv1oVQctk-B6z1dNEWU/edit?usp=share_link"",""สงขลา!I193"")+IMPORTRANGE(""https://docs.google.com/spreadsheets/d/16cywr71Fj4fA5OGRHsZh30ZG2gwJhMAQv69oVBzYHv0/edit?usp=share_link"",""สตูล!I193"")+IMP"&amp;"ORTRANGE(""https://docs.google.com/spreadsheets/d/1vO9Sws6kMtrVtyvrAJptINXjK8TFBoX9xLYOVK_C8bQ/edit?usp=share_link"",""สุราษฎร์ธานี!I193"")"),56)</f>
        <v>56</v>
      </c>
      <c r="J193" s="183">
        <f ca="1">IFERROR(__xludf.DUMMYFUNCTION("IMPORTRANGE(""https://docs.google.com/spreadsheets/d/1kC41EOXpGBFOW658Fs3oD8beYlym0-zO54WY-2Qnp9I/edit?usp=share_link"",""กระบี่!J193"")
+IMPORTRANGE(""https://docs.google.com/spreadsheets/d/1FbzMZY_f3MDiEuK7RpCQKrilJ_kpX0Wm7QBZ1L7EjIU/edit?usp=share_link"&amp;""",""ชุมพร!J193"")+IMPORTRANGE(""https://docs.google.com/spreadsheets/d/1v5sN-00LrXuhBxw4dkh2GrG_z4l5oAqOdJRBCsUyMaM/edit?usp=share_link"",""ตรัง!J193"")+IMPORTRANGE(""https://docs.google.com/spreadsheets/d/1T5rRTzFc79aSIvqnzkZNvwPstq829QYz_xALlO1Z0s8/edi"&amp;"t?usp=share_link"",""นครศรีธรรมราช!J193"")+IMPORTRANGE(""https://docs.google.com/spreadsheets/d/1BeghqumK0IvCmRd2QOy6_afsZq7ZtAGrSnVJy2u7WmY/edit?usp=share_link"",""นราธิวาส!J193"")+IMPORTRANGE(""https://docs.google.com/spreadsheets/d/1IwnW3-jjRf74MCLW-6P"&amp;"iFwMUffRQXZwZA7YM609NmRc/edit?usp=share_link"",""ปัตตานี!J193"")+IMPORTRANGE(""https://docs.google.com/spreadsheets/d/1vl4QWbWdFruual5o_wdo6ZSqXZ_it806oja4CctTLKs/edit?usp=share_link"",""พังงา!J193"")+IMPORTRANGE(""https://docs.google.com/spreadsheets/d/1"&amp;"b6QssHQp2FoAPSMKHOy273KNzAomaIKhtdlvuZ_zDNE/edit?usp=share_link"",""พัทลุง!J193"")+IMPORTRANGE(""https://docs.google.com/spreadsheets/d/1o7UZe4_OqlqtLDHrj01Z2YFRSZDf1DMy1n3XViHaxRc/edit?usp=share_link"",""ภูเก็ต!J193"")+IMPORTRANGE(""https://docs.google.c"&amp;"om/spreadsheets/d/1ctPm1vUzcUCPuOj9-eoHUD85PqINFqUB0TjdSWmR5-c/edit?usp=share_link"",""ยะลา!J193"")+IMPORTRANGE(""https://docs.google.com/spreadsheets/d/1YiDIE7Klmt8osgdapRqYWNr7iPGFSsiJqq46S7PYRE0/edit?usp=share_link"",""ระนอง!J193"")+IMPORTRANGE(""https"&amp;"://docs.google.com/spreadsheets/d/16o_4B-V7AWw_6E93bSpXj_XxVv1oVQctk-B6z1dNEWU/edit?usp=share_link"",""สงขลา!J193"")+IMPORTRANGE(""https://docs.google.com/spreadsheets/d/16cywr71Fj4fA5OGRHsZh30ZG2gwJhMAQv69oVBzYHv0/edit?usp=share_link"",""สตูล!J193"")+IMP"&amp;"ORTRANGE(""https://docs.google.com/spreadsheets/d/1vO9Sws6kMtrVtyvrAJptINXjK8TFBoX9xLYOVK_C8bQ/edit?usp=share_link"",""สุราษฎร์ธานี!J193"")"),38)</f>
        <v>38</v>
      </c>
      <c r="K193" s="38">
        <f ca="1">IF(I193&gt;0,J193*100/I193,0)</f>
        <v>67.857142857142861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1474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IFERROR(__xludf.DUMMYFUNCTION("IMPORTRANGE(""https://docs.google.com/spreadsheets/d/1kC41EOXpGBFOW658Fs3oD8beYlym0-zO54WY-2Qnp9I/edit?usp=share_link"",""กระบี่!J195"")
+IMPORTRANGE(""https://docs.google.com/spreadsheets/d/1FbzMZY_f3MDiEuK7RpCQKrilJ_kpX0Wm7QBZ1L7EjIU/edit?usp=share_link"&amp;""",""ชุมพร!J195"")+IMPORTRANGE(""https://docs.google.com/spreadsheets/d/1v5sN-00LrXuhBxw4dkh2GrG_z4l5oAqOdJRBCsUyMaM/edit?usp=share_link"",""ตรัง!J195"")+IMPORTRANGE(""https://docs.google.com/spreadsheets/d/1T5rRTzFc79aSIvqnzkZNvwPstq829QYz_xALlO1Z0s8/edi"&amp;"t?usp=share_link"",""นครศรีธรรมราช!J195"")+IMPORTRANGE(""https://docs.google.com/spreadsheets/d/1BeghqumK0IvCmRd2QOy6_afsZq7ZtAGrSnVJy2u7WmY/edit?usp=share_link"",""นราธิวาส!J195"")+IMPORTRANGE(""https://docs.google.com/spreadsheets/d/1IwnW3-jjRf74MCLW-6P"&amp;"iFwMUffRQXZwZA7YM609NmRc/edit?usp=share_link"",""ปัตตานี!J195"")+IMPORTRANGE(""https://docs.google.com/spreadsheets/d/1vl4QWbWdFruual5o_wdo6ZSqXZ_it806oja4CctTLKs/edit?usp=share_link"",""พังงา!J195"")+IMPORTRANGE(""https://docs.google.com/spreadsheets/d/1"&amp;"b6QssHQp2FoAPSMKHOy273KNzAomaIKhtdlvuZ_zDNE/edit?usp=share_link"",""พัทลุง!J195"")+IMPORTRANGE(""https://docs.google.com/spreadsheets/d/1o7UZe4_OqlqtLDHrj01Z2YFRSZDf1DMy1n3XViHaxRc/edit?usp=share_link"",""ภูเก็ต!J195"")+IMPORTRANGE(""https://docs.google.c"&amp;"om/spreadsheets/d/1ctPm1vUzcUCPuOj9-eoHUD85PqINFqUB0TjdSWmR5-c/edit?usp=share_link"",""ยะลา!J195"")+IMPORTRANGE(""https://docs.google.com/spreadsheets/d/1YiDIE7Klmt8osgdapRqYWNr7iPGFSsiJqq46S7PYRE0/edit?usp=share_link"",""ระนอง!J195"")+IMPORTRANGE(""https"&amp;"://docs.google.com/spreadsheets/d/16o_4B-V7AWw_6E93bSpXj_XxVv1oVQctk-B6z1dNEWU/edit?usp=share_link"",""สงขลา!J195"")+IMPORTRANGE(""https://docs.google.com/spreadsheets/d/16cywr71Fj4fA5OGRHsZh30ZG2gwJhMAQv69oVBzYHv0/edit?usp=share_link"",""สตูล!J195"")+IMP"&amp;"ORTRANGE(""https://docs.google.com/spreadsheets/d/1vO9Sws6kMtrVtyvrAJptINXjK8TFBoX9xLYOVK_C8bQ/edit?usp=share_link"",""สุราษฎร์ธานี!J195"")"),1474)</f>
        <v>1474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IFERROR(__xludf.DUMMYFUNCTION("IMPORTRANGE(""https://docs.google.com/spreadsheets/d/1kC41EOXpGBFOW658Fs3oD8beYlym0-zO54WY-2Qnp9I/edit?usp=share_link"",""กระบี่!J196"")
+IMPORTRANGE(""https://docs.google.com/spreadsheets/d/1FbzMZY_f3MDiEuK7RpCQKrilJ_kpX0Wm7QBZ1L7EjIU/edit?usp=share_link"&amp;""",""ชุมพร!J196"")+IMPORTRANGE(""https://docs.google.com/spreadsheets/d/1v5sN-00LrXuhBxw4dkh2GrG_z4l5oAqOdJRBCsUyMaM/edit?usp=share_link"",""ตรัง!J196"")+IMPORTRANGE(""https://docs.google.com/spreadsheets/d/1T5rRTzFc79aSIvqnzkZNvwPstq829QYz_xALlO1Z0s8/edi"&amp;"t?usp=share_link"",""นครศรีธรรมราช!J196"")+IMPORTRANGE(""https://docs.google.com/spreadsheets/d/1BeghqumK0IvCmRd2QOy6_afsZq7ZtAGrSnVJy2u7WmY/edit?usp=share_link"",""นราธิวาส!J196"")+IMPORTRANGE(""https://docs.google.com/spreadsheets/d/1IwnW3-jjRf74MCLW-6P"&amp;"iFwMUffRQXZwZA7YM609NmRc/edit?usp=share_link"",""ปัตตานี!J196"")+IMPORTRANGE(""https://docs.google.com/spreadsheets/d/1vl4QWbWdFruual5o_wdo6ZSqXZ_it806oja4CctTLKs/edit?usp=share_link"",""พังงา!J196"")+IMPORTRANGE(""https://docs.google.com/spreadsheets/d/1"&amp;"b6QssHQp2FoAPSMKHOy273KNzAomaIKhtdlvuZ_zDNE/edit?usp=share_link"",""พัทลุง!J196"")+IMPORTRANGE(""https://docs.google.com/spreadsheets/d/1o7UZe4_OqlqtLDHrj01Z2YFRSZDf1DMy1n3XViHaxRc/edit?usp=share_link"",""ภูเก็ต!J196"")+IMPORTRANGE(""https://docs.google.c"&amp;"om/spreadsheets/d/1ctPm1vUzcUCPuOj9-eoHUD85PqINFqUB0TjdSWmR5-c/edit?usp=share_link"",""ยะลา!J196"")+IMPORTRANGE(""https://docs.google.com/spreadsheets/d/1YiDIE7Klmt8osgdapRqYWNr7iPGFSsiJqq46S7PYRE0/edit?usp=share_link"",""ระนอง!J196"")+IMPORTRANGE(""https"&amp;"://docs.google.com/spreadsheets/d/16o_4B-V7AWw_6E93bSpXj_XxVv1oVQctk-B6z1dNEWU/edit?usp=share_link"",""สงขลา!J196"")+IMPORTRANGE(""https://docs.google.com/spreadsheets/d/16cywr71Fj4fA5OGRHsZh30ZG2gwJhMAQv69oVBzYHv0/edit?usp=share_link"",""สตูล!J196"")+IMP"&amp;"ORTRANGE(""https://docs.google.com/spreadsheets/d/1vO9Sws6kMtrVtyvrAJptINXjK8TFBoX9xLYOVK_C8bQ/edit?usp=share_link"",""สุราษฎร์ธานี!J196"")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28</v>
      </c>
      <c r="J197" s="272">
        <f t="shared" ca="1" si="120"/>
        <v>28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374000</v>
      </c>
      <c r="M198" s="155"/>
      <c r="N198" s="155">
        <f ca="1">N199+N200+N201+N202</f>
        <v>325592.62</v>
      </c>
      <c r="O198" s="155">
        <f ca="1">IF(L198&gt;0,N198*100/L198,0)</f>
        <v>87.056850267379673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IFERROR(__xludf.DUMMYFUNCTION("IMPORTRANGE(""https://docs.google.com/spreadsheets/d/1kC41EOXpGBFOW658Fs3oD8beYlym0-zO54WY-2Qnp9I/edit?usp=share_link"",""กระบี่!L199"")
+IMPORTRANGE(""https://docs.google.com/spreadsheets/d/1FbzMZY_f3MDiEuK7RpCQKrilJ_kpX0Wm7QBZ1L7EjIU/edit?usp=share_link"&amp;""",""ชุมพร!L199"")+IMPORTRANGE(""https://docs.google.com/spreadsheets/d/1v5sN-00LrXuhBxw4dkh2GrG_z4l5oAqOdJRBCsUyMaM/edit?usp=share_link"",""ตรัง!L199"")+IMPORTRANGE(""https://docs.google.com/spreadsheets/d/1T5rRTzFc79aSIvqnzkZNvwPstq829QYz_xALlO1Z0s8/edi"&amp;"t?usp=share_link"",""นครศรีธรรมราช!L199"")+IMPORTRANGE(""https://docs.google.com/spreadsheets/d/1BeghqumK0IvCmRd2QOy6_afsZq7ZtAGrSnVJy2u7WmY/edit?usp=share_link"",""นราธิวาส!L199"")+IMPORTRANGE(""https://docs.google.com/spreadsheets/d/1IwnW3-jjRf74MCLW-6P"&amp;"iFwMUffRQXZwZA7YM609NmRc/edit?usp=share_link"",""ปัตตานี!L199"")+IMPORTRANGE(""https://docs.google.com/spreadsheets/d/1vl4QWbWdFruual5o_wdo6ZSqXZ_it806oja4CctTLKs/edit?usp=share_link"",""พังงา!L199"")+IMPORTRANGE(""https://docs.google.com/spreadsheets/d/1"&amp;"b6QssHQp2FoAPSMKHOy273KNzAomaIKhtdlvuZ_zDNE/edit?usp=share_link"",""พัทลุง!L199"")+IMPORTRANGE(""https://docs.google.com/spreadsheets/d/1o7UZe4_OqlqtLDHrj01Z2YFRSZDf1DMy1n3XViHaxRc/edit?usp=share_link"",""ภูเก็ต!L199"")+IMPORTRANGE(""https://docs.google.c"&amp;"om/spreadsheets/d/1ctPm1vUzcUCPuOj9-eoHUD85PqINFqUB0TjdSWmR5-c/edit?usp=share_link"",""ยะลา!L199"")+IMPORTRANGE(""https://docs.google.com/spreadsheets/d/1YiDIE7Klmt8osgdapRqYWNr7iPGFSsiJqq46S7PYRE0/edit?usp=share_link"",""ระนอง!L199"")+IMPORTRANGE(""https"&amp;"://docs.google.com/spreadsheets/d/16o_4B-V7AWw_6E93bSpXj_XxVv1oVQctk-B6z1dNEWU/edit?usp=share_link"",""สงขลา!L199"")+IMPORTRANGE(""https://docs.google.com/spreadsheets/d/16cywr71Fj4fA5OGRHsZh30ZG2gwJhMAQv69oVBzYHv0/edit?usp=share_link"",""สตูล!L199"")+IMP"&amp;"ORTRANGE(""https://docs.google.com/spreadsheets/d/1vO9Sws6kMtrVtyvrAJptINXjK8TFBoX9xLYOVK_C8bQ/edit?usp=share_link"",""สุราษฎร์ธานี!L199"")"),28000)</f>
        <v>28000</v>
      </c>
      <c r="M199" s="38"/>
      <c r="N199" s="283">
        <f ca="1">IFERROR(__xludf.DUMMYFUNCTION("IMPORTRANGE(""https://docs.google.com/spreadsheets/d/1kC41EOXpGBFOW658Fs3oD8beYlym0-zO54WY-2Qnp9I/edit?usp=share_link"",""กระบี่!N199"")
+IMPORTRANGE(""https://docs.google.com/spreadsheets/d/1FbzMZY_f3MDiEuK7RpCQKrilJ_kpX0Wm7QBZ1L7EjIU/edit?usp=share_link"&amp;""",""ชุมพร!N199"")+IMPORTRANGE(""https://docs.google.com/spreadsheets/d/1v5sN-00LrXuhBxw4dkh2GrG_z4l5oAqOdJRBCsUyMaM/edit?usp=share_link"",""ตรัง!N199"")+IMPORTRANGE(""https://docs.google.com/spreadsheets/d/1T5rRTzFc79aSIvqnzkZNvwPstq829QYz_xALlO1Z0s8/edi"&amp;"t?usp=share_link"",""นครศรีธรรมราช!N199"")+IMPORTRANGE(""https://docs.google.com/spreadsheets/d/1BeghqumK0IvCmRd2QOy6_afsZq7ZtAGrSnVJy2u7WmY/edit?usp=share_link"",""นราธิวาส!N199"")+IMPORTRANGE(""https://docs.google.com/spreadsheets/d/1IwnW3-jjRf74MCLW-6P"&amp;"iFwMUffRQXZwZA7YM609NmRc/edit?usp=share_link"",""ปัตตานี!N199"")+IMPORTRANGE(""https://docs.google.com/spreadsheets/d/1vl4QWbWdFruual5o_wdo6ZSqXZ_it806oja4CctTLKs/edit?usp=share_link"",""พังงา!N199"")+IMPORTRANGE(""https://docs.google.com/spreadsheets/d/1"&amp;"b6QssHQp2FoAPSMKHOy273KNzAomaIKhtdlvuZ_zDNE/edit?usp=share_link"",""พัทลุง!N199"")+IMPORTRANGE(""https://docs.google.com/spreadsheets/d/1o7UZe4_OqlqtLDHrj01Z2YFRSZDf1DMy1n3XViHaxRc/edit?usp=share_link"",""ภูเก็ต!N199"")+IMPORTRANGE(""https://docs.google.c"&amp;"om/spreadsheets/d/1ctPm1vUzcUCPuOj9-eoHUD85PqINFqUB0TjdSWmR5-c/edit?usp=share_link"",""ยะลา!N199"")+IMPORTRANGE(""https://docs.google.com/spreadsheets/d/1YiDIE7Klmt8osgdapRqYWNr7iPGFSsiJqq46S7PYRE0/edit?usp=share_link"",""ระนอง!N199"")+IMPORTRANGE(""https"&amp;"://docs.google.com/spreadsheets/d/16o_4B-V7AWw_6E93bSpXj_XxVv1oVQctk-B6z1dNEWU/edit?usp=share_link"",""สงขลา!N199"")+IMPORTRANGE(""https://docs.google.com/spreadsheets/d/16cywr71Fj4fA5OGRHsZh30ZG2gwJhMAQv69oVBzYHv0/edit?usp=share_link"",""สตูล!N199"")+IMP"&amp;"ORTRANGE(""https://docs.google.com/spreadsheets/d/1vO9Sws6kMtrVtyvrAJptINXjK8TFBoX9xLYOVK_C8bQ/edit?usp=share_link"",""สุราษฎร์ธานี!N199"")"),18329)</f>
        <v>18329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IFERROR(__xludf.DUMMYFUNCTION("IMPORTRANGE(""https://docs.google.com/spreadsheets/d/1kC41EOXpGBFOW658Fs3oD8beYlym0-zO54WY-2Qnp9I/edit?usp=share_link"",""กระบี่!L200"")
+IMPORTRANGE(""https://docs.google.com/spreadsheets/d/1FbzMZY_f3MDiEuK7RpCQKrilJ_kpX0Wm7QBZ1L7EjIU/edit?usp=share_link"&amp;""",""ชุมพร!L200"")+IMPORTRANGE(""https://docs.google.com/spreadsheets/d/1v5sN-00LrXuhBxw4dkh2GrG_z4l5oAqOdJRBCsUyMaM/edit?usp=share_link"",""ตรัง!L200"")+IMPORTRANGE(""https://docs.google.com/spreadsheets/d/1T5rRTzFc79aSIvqnzkZNvwPstq829QYz_xALlO1Z0s8/edi"&amp;"t?usp=share_link"",""นครศรีธรรมราช!L200"")+IMPORTRANGE(""https://docs.google.com/spreadsheets/d/1BeghqumK0IvCmRd2QOy6_afsZq7ZtAGrSnVJy2u7WmY/edit?usp=share_link"",""นราธิวาส!L200"")+IMPORTRANGE(""https://docs.google.com/spreadsheets/d/1IwnW3-jjRf74MCLW-6P"&amp;"iFwMUffRQXZwZA7YM609NmRc/edit?usp=share_link"",""ปัตตานี!L200"")+IMPORTRANGE(""https://docs.google.com/spreadsheets/d/1vl4QWbWdFruual5o_wdo6ZSqXZ_it806oja4CctTLKs/edit?usp=share_link"",""พังงา!L200"")+IMPORTRANGE(""https://docs.google.com/spreadsheets/d/1"&amp;"b6QssHQp2FoAPSMKHOy273KNzAomaIKhtdlvuZ_zDNE/edit?usp=share_link"",""พัทลุง!L200"")+IMPORTRANGE(""https://docs.google.com/spreadsheets/d/1o7UZe4_OqlqtLDHrj01Z2YFRSZDf1DMy1n3XViHaxRc/edit?usp=share_link"",""ภูเก็ต!L200"")+IMPORTRANGE(""https://docs.google.c"&amp;"om/spreadsheets/d/1ctPm1vUzcUCPuOj9-eoHUD85PqINFqUB0TjdSWmR5-c/edit?usp=share_link"",""ยะลา!L200"")+IMPORTRANGE(""https://docs.google.com/spreadsheets/d/1YiDIE7Klmt8osgdapRqYWNr7iPGFSsiJqq46S7PYRE0/edit?usp=share_link"",""ระนอง!L200"")+IMPORTRANGE(""https"&amp;"://docs.google.com/spreadsheets/d/16o_4B-V7AWw_6E93bSpXj_XxVv1oVQctk-B6z1dNEWU/edit?usp=share_link"",""สงขลา!L200"")+IMPORTRANGE(""https://docs.google.com/spreadsheets/d/16cywr71Fj4fA5OGRHsZh30ZG2gwJhMAQv69oVBzYHv0/edit?usp=share_link"",""สตูล!L200"")+IMP"&amp;"ORTRANGE(""https://docs.google.com/spreadsheets/d/1vO9Sws6kMtrVtyvrAJptINXjK8TFBoX9xLYOVK_C8bQ/edit?usp=share_link"",""สุราษฎร์ธานี!L200"")"),224000)</f>
        <v>224000</v>
      </c>
      <c r="M200" s="38"/>
      <c r="N200" s="283">
        <f ca="1">IFERROR(__xludf.DUMMYFUNCTION("IMPORTRANGE(""https://docs.google.com/spreadsheets/d/1kC41EOXpGBFOW658Fs3oD8beYlym0-zO54WY-2Qnp9I/edit?usp=share_link"",""กระบี่!N200"")
+IMPORTRANGE(""https://docs.google.com/spreadsheets/d/1FbzMZY_f3MDiEuK7RpCQKrilJ_kpX0Wm7QBZ1L7EjIU/edit?usp=share_link"&amp;""",""ชุมพร!N200"")+IMPORTRANGE(""https://docs.google.com/spreadsheets/d/1v5sN-00LrXuhBxw4dkh2GrG_z4l5oAqOdJRBCsUyMaM/edit?usp=share_link"",""ตรัง!N200"")+IMPORTRANGE(""https://docs.google.com/spreadsheets/d/1T5rRTzFc79aSIvqnzkZNvwPstq829QYz_xALlO1Z0s8/edi"&amp;"t?usp=share_link"",""นครศรีธรรมราช!N200"")+IMPORTRANGE(""https://docs.google.com/spreadsheets/d/1BeghqumK0IvCmRd2QOy6_afsZq7ZtAGrSnVJy2u7WmY/edit?usp=share_link"",""นราธิวาส!N200"")+IMPORTRANGE(""https://docs.google.com/spreadsheets/d/1IwnW3-jjRf74MCLW-6P"&amp;"iFwMUffRQXZwZA7YM609NmRc/edit?usp=share_link"",""ปัตตานี!N200"")+IMPORTRANGE(""https://docs.google.com/spreadsheets/d/1vl4QWbWdFruual5o_wdo6ZSqXZ_it806oja4CctTLKs/edit?usp=share_link"",""พังงา!N200"")+IMPORTRANGE(""https://docs.google.com/spreadsheets/d/1"&amp;"b6QssHQp2FoAPSMKHOy273KNzAomaIKhtdlvuZ_zDNE/edit?usp=share_link"",""พัทลุง!N200"")+IMPORTRANGE(""https://docs.google.com/spreadsheets/d/1o7UZe4_OqlqtLDHrj01Z2YFRSZDf1DMy1n3XViHaxRc/edit?usp=share_link"",""ภูเก็ต!N200"")+IMPORTRANGE(""https://docs.google.c"&amp;"om/spreadsheets/d/1ctPm1vUzcUCPuOj9-eoHUD85PqINFqUB0TjdSWmR5-c/edit?usp=share_link"",""ยะลา!N200"")+IMPORTRANGE(""https://docs.google.com/spreadsheets/d/1YiDIE7Klmt8osgdapRqYWNr7iPGFSsiJqq46S7PYRE0/edit?usp=share_link"",""ระนอง!N200"")+IMPORTRANGE(""https"&amp;"://docs.google.com/spreadsheets/d/16o_4B-V7AWw_6E93bSpXj_XxVv1oVQctk-B6z1dNEWU/edit?usp=share_link"",""สงขลา!N200"")+IMPORTRANGE(""https://docs.google.com/spreadsheets/d/16cywr71Fj4fA5OGRHsZh30ZG2gwJhMAQv69oVBzYHv0/edit?usp=share_link"",""สตูล!N200"")+IMP"&amp;"ORTRANGE(""https://docs.google.com/spreadsheets/d/1vO9Sws6kMtrVtyvrAJptINXjK8TFBoX9xLYOVK_C8bQ/edit?usp=share_link"",""สุราษฎร์ธานี!N200"")"),224679.62)</f>
        <v>224679.62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20.25" customHeight="1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IFERROR(__xludf.DUMMYFUNCTION("IMPORTRANGE(""https://docs.google.com/spreadsheets/d/1kC41EOXpGBFOW658Fs3oD8beYlym0-zO54WY-2Qnp9I/edit?usp=share_link"",""กระบี่!L201"")
+IMPORTRANGE(""https://docs.google.com/spreadsheets/d/1FbzMZY_f3MDiEuK7RpCQKrilJ_kpX0Wm7QBZ1L7EjIU/edit?usp=share_link"&amp;""",""ชุมพร!L201"")+IMPORTRANGE(""https://docs.google.com/spreadsheets/d/1v5sN-00LrXuhBxw4dkh2GrG_z4l5oAqOdJRBCsUyMaM/edit?usp=share_link"",""ตรัง!L201"")+IMPORTRANGE(""https://docs.google.com/spreadsheets/d/1T5rRTzFc79aSIvqnzkZNvwPstq829QYz_xALlO1Z0s8/edi"&amp;"t?usp=share_link"",""นครศรีธรรมราช!L201"")+IMPORTRANGE(""https://docs.google.com/spreadsheets/d/1BeghqumK0IvCmRd2QOy6_afsZq7ZtAGrSnVJy2u7WmY/edit?usp=share_link"",""นราธิวาส!L201"")+IMPORTRANGE(""https://docs.google.com/spreadsheets/d/1IwnW3-jjRf74MCLW-6P"&amp;"iFwMUffRQXZwZA7YM609NmRc/edit?usp=share_link"",""ปัตตานี!L201"")+IMPORTRANGE(""https://docs.google.com/spreadsheets/d/1vl4QWbWdFruual5o_wdo6ZSqXZ_it806oja4CctTLKs/edit?usp=share_link"",""พังงา!L201"")+IMPORTRANGE(""https://docs.google.com/spreadsheets/d/1"&amp;"b6QssHQp2FoAPSMKHOy273KNzAomaIKhtdlvuZ_zDNE/edit?usp=share_link"",""พัทลุง!L201"")+IMPORTRANGE(""https://docs.google.com/spreadsheets/d/1o7UZe4_OqlqtLDHrj01Z2YFRSZDf1DMy1n3XViHaxRc/edit?usp=share_link"",""ภูเก็ต!L201"")+IMPORTRANGE(""https://docs.google.c"&amp;"om/spreadsheets/d/1ctPm1vUzcUCPuOj9-eoHUD85PqINFqUB0TjdSWmR5-c/edit?usp=share_link"",""ยะลา!L201"")+IMPORTRANGE(""https://docs.google.com/spreadsheets/d/1YiDIE7Klmt8osgdapRqYWNr7iPGFSsiJqq46S7PYRE0/edit?usp=share_link"",""ระนอง!L201"")+IMPORTRANGE(""https"&amp;"://docs.google.com/spreadsheets/d/16o_4B-V7AWw_6E93bSpXj_XxVv1oVQctk-B6z1dNEWU/edit?usp=share_link"",""สงขลา!L201"")+IMPORTRANGE(""https://docs.google.com/spreadsheets/d/16cywr71Fj4fA5OGRHsZh30ZG2gwJhMAQv69oVBzYHv0/edit?usp=share_link"",""สตูล!L201"")+IMP"&amp;"ORTRANGE(""https://docs.google.com/spreadsheets/d/1vO9Sws6kMtrVtyvrAJptINXjK8TFBoX9xLYOVK_C8bQ/edit?usp=share_link"",""สุราษฎร์ธานี!L201"")"),112000)</f>
        <v>112000</v>
      </c>
      <c r="M201" s="38"/>
      <c r="N201" s="283">
        <f ca="1">IFERROR(__xludf.DUMMYFUNCTION("IMPORTRANGE(""https://docs.google.com/spreadsheets/d/1kC41EOXpGBFOW658Fs3oD8beYlym0-zO54WY-2Qnp9I/edit?usp=share_link"",""กระบี่!N201"")
+IMPORTRANGE(""https://docs.google.com/spreadsheets/d/1FbzMZY_f3MDiEuK7RpCQKrilJ_kpX0Wm7QBZ1L7EjIU/edit?usp=share_link"&amp;""",""ชุมพร!N201"")+IMPORTRANGE(""https://docs.google.com/spreadsheets/d/1v5sN-00LrXuhBxw4dkh2GrG_z4l5oAqOdJRBCsUyMaM/edit?usp=share_link"",""ตรัง!N201"")+IMPORTRANGE(""https://docs.google.com/spreadsheets/d/1T5rRTzFc79aSIvqnzkZNvwPstq829QYz_xALlO1Z0s8/edi"&amp;"t?usp=share_link"",""นครศรีธรรมราช!N201"")+IMPORTRANGE(""https://docs.google.com/spreadsheets/d/1BeghqumK0IvCmRd2QOy6_afsZq7ZtAGrSnVJy2u7WmY/edit?usp=share_link"",""นราธิวาส!N201"")+IMPORTRANGE(""https://docs.google.com/spreadsheets/d/1IwnW3-jjRf74MCLW-6P"&amp;"iFwMUffRQXZwZA7YM609NmRc/edit?usp=share_link"",""ปัตตานี!N201"")+IMPORTRANGE(""https://docs.google.com/spreadsheets/d/1vl4QWbWdFruual5o_wdo6ZSqXZ_it806oja4CctTLKs/edit?usp=share_link"",""พังงา!N201"")+IMPORTRANGE(""https://docs.google.com/spreadsheets/d/1"&amp;"b6QssHQp2FoAPSMKHOy273KNzAomaIKhtdlvuZ_zDNE/edit?usp=share_link"",""พัทลุง!N201"")+IMPORTRANGE(""https://docs.google.com/spreadsheets/d/1o7UZe4_OqlqtLDHrj01Z2YFRSZDf1DMy1n3XViHaxRc/edit?usp=share_link"",""ภูเก็ต!N201"")+IMPORTRANGE(""https://docs.google.c"&amp;"om/spreadsheets/d/1ctPm1vUzcUCPuOj9-eoHUD85PqINFqUB0TjdSWmR5-c/edit?usp=share_link"",""ยะลา!N201"")+IMPORTRANGE(""https://docs.google.com/spreadsheets/d/1YiDIE7Klmt8osgdapRqYWNr7iPGFSsiJqq46S7PYRE0/edit?usp=share_link"",""ระนอง!N201"")+IMPORTRANGE(""https"&amp;"://docs.google.com/spreadsheets/d/16o_4B-V7AWw_6E93bSpXj_XxVv1oVQctk-B6z1dNEWU/edit?usp=share_link"",""สงขลา!N201"")+IMPORTRANGE(""https://docs.google.com/spreadsheets/d/16cywr71Fj4fA5OGRHsZh30ZG2gwJhMAQv69oVBzYHv0/edit?usp=share_link"",""สตูล!N201"")+IMP"&amp;"ORTRANGE(""https://docs.google.com/spreadsheets/d/1vO9Sws6kMtrVtyvrAJptINXjK8TFBoX9xLYOVK_C8bQ/edit?usp=share_link"",""สุราษฎร์ธานี!N201"")"),82584)</f>
        <v>82584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20.25" customHeight="1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IFERROR(__xludf.DUMMYFUNCTION("IMPORTRANGE(""https://docs.google.com/spreadsheets/d/1kC41EOXpGBFOW658Fs3oD8beYlym0-zO54WY-2Qnp9I/edit?usp=share_link"",""กระบี่!L202"")
+IMPORTRANGE(""https://docs.google.com/spreadsheets/d/1FbzMZY_f3MDiEuK7RpCQKrilJ_kpX0Wm7QBZ1L7EjIU/edit?usp=share_link"&amp;""",""ชุมพร!L202"")+IMPORTRANGE(""https://docs.google.com/spreadsheets/d/1v5sN-00LrXuhBxw4dkh2GrG_z4l5oAqOdJRBCsUyMaM/edit?usp=share_link"",""ตรัง!L202"")+IMPORTRANGE(""https://docs.google.com/spreadsheets/d/1T5rRTzFc79aSIvqnzkZNvwPstq829QYz_xALlO1Z0s8/edi"&amp;"t?usp=share_link"",""นครศรีธรรมราช!L202"")+IMPORTRANGE(""https://docs.google.com/spreadsheets/d/1BeghqumK0IvCmRd2QOy6_afsZq7ZtAGrSnVJy2u7WmY/edit?usp=share_link"",""นราธิวาส!L202"")+IMPORTRANGE(""https://docs.google.com/spreadsheets/d/1IwnW3-jjRf74MCLW-6P"&amp;"iFwMUffRQXZwZA7YM609NmRc/edit?usp=share_link"",""ปัตตานี!L202"")+IMPORTRANGE(""https://docs.google.com/spreadsheets/d/1vl4QWbWdFruual5o_wdo6ZSqXZ_it806oja4CctTLKs/edit?usp=share_link"",""พังงา!L202"")+IMPORTRANGE(""https://docs.google.com/spreadsheets/d/1"&amp;"b6QssHQp2FoAPSMKHOy273KNzAomaIKhtdlvuZ_zDNE/edit?usp=share_link"",""พัทลุง!L202"")+IMPORTRANGE(""https://docs.google.com/spreadsheets/d/1o7UZe4_OqlqtLDHrj01Z2YFRSZDf1DMy1n3XViHaxRc/edit?usp=share_link"",""ภูเก็ต!L202"")+IMPORTRANGE(""https://docs.google.c"&amp;"om/spreadsheets/d/1ctPm1vUzcUCPuOj9-eoHUD85PqINFqUB0TjdSWmR5-c/edit?usp=share_link"",""ยะลา!L202"")+IMPORTRANGE(""https://docs.google.com/spreadsheets/d/1YiDIE7Klmt8osgdapRqYWNr7iPGFSsiJqq46S7PYRE0/edit?usp=share_link"",""ระนอง!L202"")+IMPORTRANGE(""https"&amp;"://docs.google.com/spreadsheets/d/16o_4B-V7AWw_6E93bSpXj_XxVv1oVQctk-B6z1dNEWU/edit?usp=share_link"",""สงขลา!L202"")+IMPORTRANGE(""https://docs.google.com/spreadsheets/d/16cywr71Fj4fA5OGRHsZh30ZG2gwJhMAQv69oVBzYHv0/edit?usp=share_link"",""สตูล!L202"")+IMP"&amp;"ORTRANGE(""https://docs.google.com/spreadsheets/d/1vO9Sws6kMtrVtyvrAJptINXjK8TFBoX9xLYOVK_C8bQ/edit?usp=share_link"",""สุราษฎร์ธานี!L202"")"),10000)</f>
        <v>10000</v>
      </c>
      <c r="M202" s="38"/>
      <c r="N202" s="283">
        <f ca="1">IFERROR(__xludf.DUMMYFUNCTION("IMPORTRANGE(""https://docs.google.com/spreadsheets/d/1kC41EOXpGBFOW658Fs3oD8beYlym0-zO54WY-2Qnp9I/edit?usp=share_link"",""กระบี่!N202"")
+IMPORTRANGE(""https://docs.google.com/spreadsheets/d/1FbzMZY_f3MDiEuK7RpCQKrilJ_kpX0Wm7QBZ1L7EjIU/edit?usp=share_link"&amp;""",""ชุมพร!N202"")+IMPORTRANGE(""https://docs.google.com/spreadsheets/d/1v5sN-00LrXuhBxw4dkh2GrG_z4l5oAqOdJRBCsUyMaM/edit?usp=share_link"",""ตรัง!N202"")+IMPORTRANGE(""https://docs.google.com/spreadsheets/d/1T5rRTzFc79aSIvqnzkZNvwPstq829QYz_xALlO1Z0s8/edi"&amp;"t?usp=share_link"",""นครศรีธรรมราช!N202"")+IMPORTRANGE(""https://docs.google.com/spreadsheets/d/1BeghqumK0IvCmRd2QOy6_afsZq7ZtAGrSnVJy2u7WmY/edit?usp=share_link"",""นราธิวาส!N202"")+IMPORTRANGE(""https://docs.google.com/spreadsheets/d/1IwnW3-jjRf74MCLW-6P"&amp;"iFwMUffRQXZwZA7YM609NmRc/edit?usp=share_link"",""ปัตตานี!N202"")+IMPORTRANGE(""https://docs.google.com/spreadsheets/d/1vl4QWbWdFruual5o_wdo6ZSqXZ_it806oja4CctTLKs/edit?usp=share_link"",""พังงา!N202"")+IMPORTRANGE(""https://docs.google.com/spreadsheets/d/1"&amp;"b6QssHQp2FoAPSMKHOy273KNzAomaIKhtdlvuZ_zDNE/edit?usp=share_link"",""พัทลุง!N202"")+IMPORTRANGE(""https://docs.google.com/spreadsheets/d/1o7UZe4_OqlqtLDHrj01Z2YFRSZDf1DMy1n3XViHaxRc/edit?usp=share_link"",""ภูเก็ต!N202"")+IMPORTRANGE(""https://docs.google.c"&amp;"om/spreadsheets/d/1ctPm1vUzcUCPuOj9-eoHUD85PqINFqUB0TjdSWmR5-c/edit?usp=share_link"",""ยะลา!N202"")+IMPORTRANGE(""https://docs.google.com/spreadsheets/d/1YiDIE7Klmt8osgdapRqYWNr7iPGFSsiJqq46S7PYRE0/edit?usp=share_link"",""ระนอง!N202"")+IMPORTRANGE(""https"&amp;"://docs.google.com/spreadsheets/d/16o_4B-V7AWw_6E93bSpXj_XxVv1oVQctk-B6z1dNEWU/edit?usp=share_link"",""สงขลา!N202"")+IMPORTRANGE(""https://docs.google.com/spreadsheets/d/16cywr71Fj4fA5OGRHsZh30ZG2gwJhMAQv69oVBzYHv0/edit?usp=share_link"",""สตูล!N202"")+IMP"&amp;"ORTRANGE(""https://docs.google.com/spreadsheets/d/1vO9Sws6kMtrVtyvrAJptINXjK8TFBoX9xLYOVK_C8bQ/edit?usp=share_link"",""สุราษฎร์ธานี!N202"")"),0)</f>
        <v>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IFERROR(__xludf.DUMMYFUNCTION("IMPORTRANGE(""https://docs.google.com/spreadsheets/d/1kC41EOXpGBFOW658Fs3oD8beYlym0-zO54WY-2Qnp9I/edit?usp=share_link"",""กระบี่!I204"")
+IMPORTRANGE(""https://docs.google.com/spreadsheets/d/1FbzMZY_f3MDiEuK7RpCQKrilJ_kpX0Wm7QBZ1L7EjIU/edit?usp=share_link"&amp;""",""ชุมพร!I204"")+IMPORTRANGE(""https://docs.google.com/spreadsheets/d/1v5sN-00LrXuhBxw4dkh2GrG_z4l5oAqOdJRBCsUyMaM/edit?usp=share_link"",""ตรัง!I204"")+IMPORTRANGE(""https://docs.google.com/spreadsheets/d/1T5rRTzFc79aSIvqnzkZNvwPstq829QYz_xALlO1Z0s8/edi"&amp;"t?usp=share_link"",""นครศรีธรรมราช!I204"")+IMPORTRANGE(""https://docs.google.com/spreadsheets/d/1BeghqumK0IvCmRd2QOy6_afsZq7ZtAGrSnVJy2u7WmY/edit?usp=share_link"",""นราธิวาส!I204"")+IMPORTRANGE(""https://docs.google.com/spreadsheets/d/1IwnW3-jjRf74MCLW-6P"&amp;"iFwMUffRQXZwZA7YM609NmRc/edit?usp=share_link"",""ปัตตานี!I204"")+IMPORTRANGE(""https://docs.google.com/spreadsheets/d/1vl4QWbWdFruual5o_wdo6ZSqXZ_it806oja4CctTLKs/edit?usp=share_link"",""พังงา!I204"")+IMPORTRANGE(""https://docs.google.com/spreadsheets/d/1"&amp;"b6QssHQp2FoAPSMKHOy273KNzAomaIKhtdlvuZ_zDNE/edit?usp=share_link"",""พัทลุง!I204"")+IMPORTRANGE(""https://docs.google.com/spreadsheets/d/1o7UZe4_OqlqtLDHrj01Z2YFRSZDf1DMy1n3XViHaxRc/edit?usp=share_link"",""ภูเก็ต!I204"")+IMPORTRANGE(""https://docs.google.c"&amp;"om/spreadsheets/d/1ctPm1vUzcUCPuOj9-eoHUD85PqINFqUB0TjdSWmR5-c/edit?usp=share_link"",""ยะลา!I204"")+IMPORTRANGE(""https://docs.google.com/spreadsheets/d/1YiDIE7Klmt8osgdapRqYWNr7iPGFSsiJqq46S7PYRE0/edit?usp=share_link"",""ระนอง!I204"")+IMPORTRANGE(""https"&amp;"://docs.google.com/spreadsheets/d/16o_4B-V7AWw_6E93bSpXj_XxVv1oVQctk-B6z1dNEWU/edit?usp=share_link"",""สงขลา!I204"")+IMPORTRANGE(""https://docs.google.com/spreadsheets/d/16cywr71Fj4fA5OGRHsZh30ZG2gwJhMAQv69oVBzYHv0/edit?usp=share_link"",""สตูล!I204"")+IMP"&amp;"ORTRANGE(""https://docs.google.com/spreadsheets/d/1vO9Sws6kMtrVtyvrAJptINXjK8TFBoX9xLYOVK_C8bQ/edit?usp=share_link"",""สุราษฎร์ธานี!I204"")"),28)</f>
        <v>28</v>
      </c>
      <c r="J204" s="183">
        <f ca="1">IFERROR(__xludf.DUMMYFUNCTION("IMPORTRANGE(""https://docs.google.com/spreadsheets/d/1kC41EOXpGBFOW658Fs3oD8beYlym0-zO54WY-2Qnp9I/edit?usp=share_link"",""กระบี่!J204"")
+IMPORTRANGE(""https://docs.google.com/spreadsheets/d/1FbzMZY_f3MDiEuK7RpCQKrilJ_kpX0Wm7QBZ1L7EjIU/edit?usp=share_link"&amp;""",""ชุมพร!J204"")+IMPORTRANGE(""https://docs.google.com/spreadsheets/d/1v5sN-00LrXuhBxw4dkh2GrG_z4l5oAqOdJRBCsUyMaM/edit?usp=share_link"",""ตรัง!J204"")+IMPORTRANGE(""https://docs.google.com/spreadsheets/d/1T5rRTzFc79aSIvqnzkZNvwPstq829QYz_xALlO1Z0s8/edi"&amp;"t?usp=share_link"",""นครศรีธรรมราช!J204"")+IMPORTRANGE(""https://docs.google.com/spreadsheets/d/1BeghqumK0IvCmRd2QOy6_afsZq7ZtAGrSnVJy2u7WmY/edit?usp=share_link"",""นราธิวาส!J204"")+IMPORTRANGE(""https://docs.google.com/spreadsheets/d/1IwnW3-jjRf74MCLW-6P"&amp;"iFwMUffRQXZwZA7YM609NmRc/edit?usp=share_link"",""ปัตตานี!J204"")+IMPORTRANGE(""https://docs.google.com/spreadsheets/d/1vl4QWbWdFruual5o_wdo6ZSqXZ_it806oja4CctTLKs/edit?usp=share_link"",""พังงา!J204"")+IMPORTRANGE(""https://docs.google.com/spreadsheets/d/1"&amp;"b6QssHQp2FoAPSMKHOy273KNzAomaIKhtdlvuZ_zDNE/edit?usp=share_link"",""พัทลุง!J204"")+IMPORTRANGE(""https://docs.google.com/spreadsheets/d/1o7UZe4_OqlqtLDHrj01Z2YFRSZDf1DMy1n3XViHaxRc/edit?usp=share_link"",""ภูเก็ต!J204"")+IMPORTRANGE(""https://docs.google.c"&amp;"om/spreadsheets/d/1ctPm1vUzcUCPuOj9-eoHUD85PqINFqUB0TjdSWmR5-c/edit?usp=share_link"",""ยะลา!J204"")+IMPORTRANGE(""https://docs.google.com/spreadsheets/d/1YiDIE7Klmt8osgdapRqYWNr7iPGFSsiJqq46S7PYRE0/edit?usp=share_link"",""ระนอง!J204"")+IMPORTRANGE(""https"&amp;"://docs.google.com/spreadsheets/d/16o_4B-V7AWw_6E93bSpXj_XxVv1oVQctk-B6z1dNEWU/edit?usp=share_link"",""สงขลา!J204"")+IMPORTRANGE(""https://docs.google.com/spreadsheets/d/16cywr71Fj4fA5OGRHsZh30ZG2gwJhMAQv69oVBzYHv0/edit?usp=share_link"",""สตูล!J204"")+IMP"&amp;"ORTRANGE(""https://docs.google.com/spreadsheets/d/1vO9Sws6kMtrVtyvrAJptINXjK8TFBoX9xLYOVK_C8bQ/edit?usp=share_link"",""สุราษฎร์ธานี!J204"")"),28)</f>
        <v>28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IFERROR(__xludf.DUMMYFUNCTION("IMPORTRANGE(""https://docs.google.com/spreadsheets/d/1kC41EOXpGBFOW658Fs3oD8beYlym0-zO54WY-2Qnp9I/edit?usp=share_link"",""กระบี่!I206"")
+IMPORTRANGE(""https://docs.google.com/spreadsheets/d/1FbzMZY_f3MDiEuK7RpCQKrilJ_kpX0Wm7QBZ1L7EjIU/edit?usp=share_link"&amp;""",""ชุมพร!I206"")+IMPORTRANGE(""https://docs.google.com/spreadsheets/d/1v5sN-00LrXuhBxw4dkh2GrG_z4l5oAqOdJRBCsUyMaM/edit?usp=share_link"",""ตรัง!I206"")+IMPORTRANGE(""https://docs.google.com/spreadsheets/d/1T5rRTzFc79aSIvqnzkZNvwPstq829QYz_xALlO1Z0s8/edi"&amp;"t?usp=share_link"",""นครศรีธรรมราช!I206"")+IMPORTRANGE(""https://docs.google.com/spreadsheets/d/1BeghqumK0IvCmRd2QOy6_afsZq7ZtAGrSnVJy2u7WmY/edit?usp=share_link"",""นราธิวาส!I206"")+IMPORTRANGE(""https://docs.google.com/spreadsheets/d/1IwnW3-jjRf74MCLW-6P"&amp;"iFwMUffRQXZwZA7YM609NmRc/edit?usp=share_link"",""ปัตตานี!I206"")+IMPORTRANGE(""https://docs.google.com/spreadsheets/d/1vl4QWbWdFruual5o_wdo6ZSqXZ_it806oja4CctTLKs/edit?usp=share_link"",""พังงา!I206"")+IMPORTRANGE(""https://docs.google.com/spreadsheets/d/1"&amp;"b6QssHQp2FoAPSMKHOy273KNzAomaIKhtdlvuZ_zDNE/edit?usp=share_link"",""พัทลุง!I206"")+IMPORTRANGE(""https://docs.google.com/spreadsheets/d/1o7UZe4_OqlqtLDHrj01Z2YFRSZDf1DMy1n3XViHaxRc/edit?usp=share_link"",""ภูเก็ต!I206"")+IMPORTRANGE(""https://docs.google.c"&amp;"om/spreadsheets/d/1ctPm1vUzcUCPuOj9-eoHUD85PqINFqUB0TjdSWmR5-c/edit?usp=share_link"",""ยะลา!I206"")+IMPORTRANGE(""https://docs.google.com/spreadsheets/d/1YiDIE7Klmt8osgdapRqYWNr7iPGFSsiJqq46S7PYRE0/edit?usp=share_link"",""ระนอง!I206"")+IMPORTRANGE(""https"&amp;"://docs.google.com/spreadsheets/d/16o_4B-V7AWw_6E93bSpXj_XxVv1oVQctk-B6z1dNEWU/edit?usp=share_link"",""สงขลา!I206"")+IMPORTRANGE(""https://docs.google.com/spreadsheets/d/16cywr71Fj4fA5OGRHsZh30ZG2gwJhMAQv69oVBzYHv0/edit?usp=share_link"",""สตูล!I206"")+IMP"&amp;"ORTRANGE(""https://docs.google.com/spreadsheets/d/1vO9Sws6kMtrVtyvrAJptINXjK8TFBoX9xLYOVK_C8bQ/edit?usp=share_link"",""สุราษฎร์ธานี!I206"")"),28)</f>
        <v>28</v>
      </c>
      <c r="J206" s="183">
        <f ca="1">IFERROR(__xludf.DUMMYFUNCTION("IMPORTRANGE(""https://docs.google.com/spreadsheets/d/1kC41EOXpGBFOW658Fs3oD8beYlym0-zO54WY-2Qnp9I/edit?usp=share_link"",""กระบี่!J206"")
+IMPORTRANGE(""https://docs.google.com/spreadsheets/d/1FbzMZY_f3MDiEuK7RpCQKrilJ_kpX0Wm7QBZ1L7EjIU/edit?usp=share_link"&amp;""",""ชุมพร!J206"")+IMPORTRANGE(""https://docs.google.com/spreadsheets/d/1v5sN-00LrXuhBxw4dkh2GrG_z4l5oAqOdJRBCsUyMaM/edit?usp=share_link"",""ตรัง!J206"")+IMPORTRANGE(""https://docs.google.com/spreadsheets/d/1T5rRTzFc79aSIvqnzkZNvwPstq829QYz_xALlO1Z0s8/edi"&amp;"t?usp=share_link"",""นครศรีธรรมราช!J206"")+IMPORTRANGE(""https://docs.google.com/spreadsheets/d/1BeghqumK0IvCmRd2QOy6_afsZq7ZtAGrSnVJy2u7WmY/edit?usp=share_link"",""นราธิวาส!J206"")+IMPORTRANGE(""https://docs.google.com/spreadsheets/d/1IwnW3-jjRf74MCLW-6P"&amp;"iFwMUffRQXZwZA7YM609NmRc/edit?usp=share_link"",""ปัตตานี!J206"")+IMPORTRANGE(""https://docs.google.com/spreadsheets/d/1vl4QWbWdFruual5o_wdo6ZSqXZ_it806oja4CctTLKs/edit?usp=share_link"",""พังงา!J206"")+IMPORTRANGE(""https://docs.google.com/spreadsheets/d/1"&amp;"b6QssHQp2FoAPSMKHOy273KNzAomaIKhtdlvuZ_zDNE/edit?usp=share_link"",""พัทลุง!J206"")+IMPORTRANGE(""https://docs.google.com/spreadsheets/d/1o7UZe4_OqlqtLDHrj01Z2YFRSZDf1DMy1n3XViHaxRc/edit?usp=share_link"",""ภูเก็ต!J206"")+IMPORTRANGE(""https://docs.google.c"&amp;"om/spreadsheets/d/1ctPm1vUzcUCPuOj9-eoHUD85PqINFqUB0TjdSWmR5-c/edit?usp=share_link"",""ยะลา!J206"")+IMPORTRANGE(""https://docs.google.com/spreadsheets/d/1YiDIE7Klmt8osgdapRqYWNr7iPGFSsiJqq46S7PYRE0/edit?usp=share_link"",""ระนอง!J206"")+IMPORTRANGE(""https"&amp;"://docs.google.com/spreadsheets/d/16o_4B-V7AWw_6E93bSpXj_XxVv1oVQctk-B6z1dNEWU/edit?usp=share_link"",""สงขลา!J206"")+IMPORTRANGE(""https://docs.google.com/spreadsheets/d/16cywr71Fj4fA5OGRHsZh30ZG2gwJhMAQv69oVBzYHv0/edit?usp=share_link"",""สตูล!J206"")+IMP"&amp;"ORTRANGE(""https://docs.google.com/spreadsheets/d/1vO9Sws6kMtrVtyvrAJptINXjK8TFBoX9xLYOVK_C8bQ/edit?usp=share_link"",""สุราษฎร์ธานี!J206"")"),22)</f>
        <v>22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IFERROR(__xludf.DUMMYFUNCTION("IMPORTRANGE(""https://docs.google.com/spreadsheets/d/1kC41EOXpGBFOW658Fs3oD8beYlym0-zO54WY-2Qnp9I/edit?usp=share_link"",""กระบี่!I207"")
+IMPORTRANGE(""https://docs.google.com/spreadsheets/d/1FbzMZY_f3MDiEuK7RpCQKrilJ_kpX0Wm7QBZ1L7EjIU/edit?usp=share_link"&amp;""",""ชุมพร!I207"")+IMPORTRANGE(""https://docs.google.com/spreadsheets/d/1v5sN-00LrXuhBxw4dkh2GrG_z4l5oAqOdJRBCsUyMaM/edit?usp=share_link"",""ตรัง!I207"")+IMPORTRANGE(""https://docs.google.com/spreadsheets/d/1T5rRTzFc79aSIvqnzkZNvwPstq829QYz_xALlO1Z0s8/edi"&amp;"t?usp=share_link"",""นครศรีธรรมราช!I207"")+IMPORTRANGE(""https://docs.google.com/spreadsheets/d/1BeghqumK0IvCmRd2QOy6_afsZq7ZtAGrSnVJy2u7WmY/edit?usp=share_link"",""นราธิวาส!I207"")+IMPORTRANGE(""https://docs.google.com/spreadsheets/d/1IwnW3-jjRf74MCLW-6P"&amp;"iFwMUffRQXZwZA7YM609NmRc/edit?usp=share_link"",""ปัตตานี!I207"")+IMPORTRANGE(""https://docs.google.com/spreadsheets/d/1vl4QWbWdFruual5o_wdo6ZSqXZ_it806oja4CctTLKs/edit?usp=share_link"",""พังงา!I207"")+IMPORTRANGE(""https://docs.google.com/spreadsheets/d/1"&amp;"b6QssHQp2FoAPSMKHOy273KNzAomaIKhtdlvuZ_zDNE/edit?usp=share_link"",""พัทลุง!I207"")+IMPORTRANGE(""https://docs.google.com/spreadsheets/d/1o7UZe4_OqlqtLDHrj01Z2YFRSZDf1DMy1n3XViHaxRc/edit?usp=share_link"",""ภูเก็ต!I207"")+IMPORTRANGE(""https://docs.google.c"&amp;"om/spreadsheets/d/1ctPm1vUzcUCPuOj9-eoHUD85PqINFqUB0TjdSWmR5-c/edit?usp=share_link"",""ยะลา!I207"")+IMPORTRANGE(""https://docs.google.com/spreadsheets/d/1YiDIE7Klmt8osgdapRqYWNr7iPGFSsiJqq46S7PYRE0/edit?usp=share_link"",""ระนอง!I207"")+IMPORTRANGE(""https"&amp;"://docs.google.com/spreadsheets/d/16o_4B-V7AWw_6E93bSpXj_XxVv1oVQctk-B6z1dNEWU/edit?usp=share_link"",""สงขลา!I207"")+IMPORTRANGE(""https://docs.google.com/spreadsheets/d/16cywr71Fj4fA5OGRHsZh30ZG2gwJhMAQv69oVBzYHv0/edit?usp=share_link"",""สตูล!I207"")+IMP"&amp;"ORTRANGE(""https://docs.google.com/spreadsheets/d/1vO9Sws6kMtrVtyvrAJptINXjK8TFBoX9xLYOVK_C8bQ/edit?usp=share_link"",""สุราษฎร์ธานี!I207"")"),2)</f>
        <v>2</v>
      </c>
      <c r="J207" s="183">
        <f ca="1">IFERROR(__xludf.DUMMYFUNCTION("IMPORTRANGE(""https://docs.google.com/spreadsheets/d/1kC41EOXpGBFOW658Fs3oD8beYlym0-zO54WY-2Qnp9I/edit?usp=share_link"",""กระบี่!J207"")
+IMPORTRANGE(""https://docs.google.com/spreadsheets/d/1FbzMZY_f3MDiEuK7RpCQKrilJ_kpX0Wm7QBZ1L7EjIU/edit?usp=share_link"&amp;""",""ชุมพร!J207"")+IMPORTRANGE(""https://docs.google.com/spreadsheets/d/1v5sN-00LrXuhBxw4dkh2GrG_z4l5oAqOdJRBCsUyMaM/edit?usp=share_link"",""ตรัง!J207"")+IMPORTRANGE(""https://docs.google.com/spreadsheets/d/1T5rRTzFc79aSIvqnzkZNvwPstq829QYz_xALlO1Z0s8/edi"&amp;"t?usp=share_link"",""นครศรีธรรมราช!J207"")+IMPORTRANGE(""https://docs.google.com/spreadsheets/d/1BeghqumK0IvCmRd2QOy6_afsZq7ZtAGrSnVJy2u7WmY/edit?usp=share_link"",""นราธิวาส!J207"")+IMPORTRANGE(""https://docs.google.com/spreadsheets/d/1IwnW3-jjRf74MCLW-6P"&amp;"iFwMUffRQXZwZA7YM609NmRc/edit?usp=share_link"",""ปัตตานี!J207"")+IMPORTRANGE(""https://docs.google.com/spreadsheets/d/1vl4QWbWdFruual5o_wdo6ZSqXZ_it806oja4CctTLKs/edit?usp=share_link"",""พังงา!J207"")+IMPORTRANGE(""https://docs.google.com/spreadsheets/d/1"&amp;"b6QssHQp2FoAPSMKHOy273KNzAomaIKhtdlvuZ_zDNE/edit?usp=share_link"",""พัทลุง!J207"")+IMPORTRANGE(""https://docs.google.com/spreadsheets/d/1o7UZe4_OqlqtLDHrj01Z2YFRSZDf1DMy1n3XViHaxRc/edit?usp=share_link"",""ภูเก็ต!J207"")+IMPORTRANGE(""https://docs.google.c"&amp;"om/spreadsheets/d/1ctPm1vUzcUCPuOj9-eoHUD85PqINFqUB0TjdSWmR5-c/edit?usp=share_link"",""ยะลา!J207"")+IMPORTRANGE(""https://docs.google.com/spreadsheets/d/1YiDIE7Klmt8osgdapRqYWNr7iPGFSsiJqq46S7PYRE0/edit?usp=share_link"",""ระนอง!J207"")+IMPORTRANGE(""https"&amp;"://docs.google.com/spreadsheets/d/16o_4B-V7AWw_6E93bSpXj_XxVv1oVQctk-B6z1dNEWU/edit?usp=share_link"",""สงขลา!J207"")+IMPORTRANGE(""https://docs.google.com/spreadsheets/d/16cywr71Fj4fA5OGRHsZh30ZG2gwJhMAQv69oVBzYHv0/edit?usp=share_link"",""สตูล!J207"")+IMP"&amp;"ORTRANGE(""https://docs.google.com/spreadsheets/d/1vO9Sws6kMtrVtyvrAJptINXjK8TFBoX9xLYOVK_C8bQ/edit?usp=share_link"",""สุราษฎร์ธานี!J207"")"),0)</f>
        <v>0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1">I215</f>
        <v>10</v>
      </c>
      <c r="J208" s="272">
        <f t="shared" ca="1" si="121"/>
        <v>10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140000</v>
      </c>
      <c r="M209" s="155"/>
      <c r="N209" s="155">
        <f ca="1">N210+N211+N212</f>
        <v>126255</v>
      </c>
      <c r="O209" s="155">
        <f ca="1">IF(L209&gt;0,N209*100/L209,0)</f>
        <v>90.182142857142864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IFERROR(__xludf.DUMMYFUNCTION("IMPORTRANGE(""https://docs.google.com/spreadsheets/d/1kC41EOXpGBFOW658Fs3oD8beYlym0-zO54WY-2Qnp9I/edit?usp=share_link"",""กระบี่!L210"")
+IMPORTRANGE(""https://docs.google.com/spreadsheets/d/1FbzMZY_f3MDiEuK7RpCQKrilJ_kpX0Wm7QBZ1L7EjIU/edit?usp=share_link"&amp;""",""ชุมพร!L210"")+IMPORTRANGE(""https://docs.google.com/spreadsheets/d/1v5sN-00LrXuhBxw4dkh2GrG_z4l5oAqOdJRBCsUyMaM/edit?usp=share_link"",""ตรัง!L210"")+IMPORTRANGE(""https://docs.google.com/spreadsheets/d/1T5rRTzFc79aSIvqnzkZNvwPstq829QYz_xALlO1Z0s8/edi"&amp;"t?usp=share_link"",""นครศรีธรรมราช!L210"")+IMPORTRANGE(""https://docs.google.com/spreadsheets/d/1BeghqumK0IvCmRd2QOy6_afsZq7ZtAGrSnVJy2u7WmY/edit?usp=share_link"",""นราธิวาส!L210"")+IMPORTRANGE(""https://docs.google.com/spreadsheets/d/1IwnW3-jjRf74MCLW-6P"&amp;"iFwMUffRQXZwZA7YM609NmRc/edit?usp=share_link"",""ปัตตานี!L210"")+IMPORTRANGE(""https://docs.google.com/spreadsheets/d/1vl4QWbWdFruual5o_wdo6ZSqXZ_it806oja4CctTLKs/edit?usp=share_link"",""พังงา!L210"")+IMPORTRANGE(""https://docs.google.com/spreadsheets/d/1"&amp;"b6QssHQp2FoAPSMKHOy273KNzAomaIKhtdlvuZ_zDNE/edit?usp=share_link"",""พัทลุง!L210"")+IMPORTRANGE(""https://docs.google.com/spreadsheets/d/1o7UZe4_OqlqtLDHrj01Z2YFRSZDf1DMy1n3XViHaxRc/edit?usp=share_link"",""ภูเก็ต!L210"")+IMPORTRANGE(""https://docs.google.c"&amp;"om/spreadsheets/d/1ctPm1vUzcUCPuOj9-eoHUD85PqINFqUB0TjdSWmR5-c/edit?usp=share_link"",""ยะลา!L210"")+IMPORTRANGE(""https://docs.google.com/spreadsheets/d/1YiDIE7Klmt8osgdapRqYWNr7iPGFSsiJqq46S7PYRE0/edit?usp=share_link"",""ระนอง!L210"")+IMPORTRANGE(""https"&amp;"://docs.google.com/spreadsheets/d/16o_4B-V7AWw_6E93bSpXj_XxVv1oVQctk-B6z1dNEWU/edit?usp=share_link"",""สงขลา!L210"")+IMPORTRANGE(""https://docs.google.com/spreadsheets/d/16cywr71Fj4fA5OGRHsZh30ZG2gwJhMAQv69oVBzYHv0/edit?usp=share_link"",""สตูล!L210"")+IMP"&amp;"ORTRANGE(""https://docs.google.com/spreadsheets/d/1vO9Sws6kMtrVtyvrAJptINXjK8TFBoX9xLYOVK_C8bQ/edit?usp=share_link"",""สุราษฎร์ธานี!L210"")"),10000)</f>
        <v>10000</v>
      </c>
      <c r="M210" s="38"/>
      <c r="N210" s="283">
        <f ca="1">IFERROR(__xludf.DUMMYFUNCTION("IMPORTRANGE(""https://docs.google.com/spreadsheets/d/1kC41EOXpGBFOW658Fs3oD8beYlym0-zO54WY-2Qnp9I/edit?usp=share_link"",""กระบี่!N210"")
+IMPORTRANGE(""https://docs.google.com/spreadsheets/d/1FbzMZY_f3MDiEuK7RpCQKrilJ_kpX0Wm7QBZ1L7EjIU/edit?usp=share_link"&amp;""",""ชุมพร!N210"")+IMPORTRANGE(""https://docs.google.com/spreadsheets/d/1v5sN-00LrXuhBxw4dkh2GrG_z4l5oAqOdJRBCsUyMaM/edit?usp=share_link"",""ตรัง!N210"")+IMPORTRANGE(""https://docs.google.com/spreadsheets/d/1T5rRTzFc79aSIvqnzkZNvwPstq829QYz_xALlO1Z0s8/edi"&amp;"t?usp=share_link"",""นครศรีธรรมราช!N210"")+IMPORTRANGE(""https://docs.google.com/spreadsheets/d/1BeghqumK0IvCmRd2QOy6_afsZq7ZtAGrSnVJy2u7WmY/edit?usp=share_link"",""นราธิวาส!N210"")+IMPORTRANGE(""https://docs.google.com/spreadsheets/d/1IwnW3-jjRf74MCLW-6P"&amp;"iFwMUffRQXZwZA7YM609NmRc/edit?usp=share_link"",""ปัตตานี!N210"")+IMPORTRANGE(""https://docs.google.com/spreadsheets/d/1vl4QWbWdFruual5o_wdo6ZSqXZ_it806oja4CctTLKs/edit?usp=share_link"",""พังงา!N210"")+IMPORTRANGE(""https://docs.google.com/spreadsheets/d/1"&amp;"b6QssHQp2FoAPSMKHOy273KNzAomaIKhtdlvuZ_zDNE/edit?usp=share_link"",""พัทลุง!N210"")+IMPORTRANGE(""https://docs.google.com/spreadsheets/d/1o7UZe4_OqlqtLDHrj01Z2YFRSZDf1DMy1n3XViHaxRc/edit?usp=share_link"",""ภูเก็ต!N210"")+IMPORTRANGE(""https://docs.google.c"&amp;"om/spreadsheets/d/1ctPm1vUzcUCPuOj9-eoHUD85PqINFqUB0TjdSWmR5-c/edit?usp=share_link"",""ยะลา!N210"")+IMPORTRANGE(""https://docs.google.com/spreadsheets/d/1YiDIE7Klmt8osgdapRqYWNr7iPGFSsiJqq46S7PYRE0/edit?usp=share_link"",""ระนอง!N210"")+IMPORTRANGE(""https"&amp;"://docs.google.com/spreadsheets/d/16o_4B-V7AWw_6E93bSpXj_XxVv1oVQctk-B6z1dNEWU/edit?usp=share_link"",""สงขลา!N210"")+IMPORTRANGE(""https://docs.google.com/spreadsheets/d/16cywr71Fj4fA5OGRHsZh30ZG2gwJhMAQv69oVBzYHv0/edit?usp=share_link"",""สตูล!N210"")+IMP"&amp;"ORTRANGE(""https://docs.google.com/spreadsheets/d/1vO9Sws6kMtrVtyvrAJptINXjK8TFBoX9xLYOVK_C8bQ/edit?usp=share_link"",""สุราษฎร์ธานี!N210"")"),5950)</f>
        <v>5950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IFERROR(__xludf.DUMMYFUNCTION("IMPORTRANGE(""https://docs.google.com/spreadsheets/d/1kC41EOXpGBFOW658Fs3oD8beYlym0-zO54WY-2Qnp9I/edit?usp=share_link"",""กระบี่!L211"")
+IMPORTRANGE(""https://docs.google.com/spreadsheets/d/1FbzMZY_f3MDiEuK7RpCQKrilJ_kpX0Wm7QBZ1L7EjIU/edit?usp=share_link"&amp;""",""ชุมพร!L211"")+IMPORTRANGE(""https://docs.google.com/spreadsheets/d/1v5sN-00LrXuhBxw4dkh2GrG_z4l5oAqOdJRBCsUyMaM/edit?usp=share_link"",""ตรัง!L211"")+IMPORTRANGE(""https://docs.google.com/spreadsheets/d/1T5rRTzFc79aSIvqnzkZNvwPstq829QYz_xALlO1Z0s8/edi"&amp;"t?usp=share_link"",""นครศรีธรรมราช!L211"")+IMPORTRANGE(""https://docs.google.com/spreadsheets/d/1BeghqumK0IvCmRd2QOy6_afsZq7ZtAGrSnVJy2u7WmY/edit?usp=share_link"",""นราธิวาส!L211"")+IMPORTRANGE(""https://docs.google.com/spreadsheets/d/1IwnW3-jjRf74MCLW-6P"&amp;"iFwMUffRQXZwZA7YM609NmRc/edit?usp=share_link"",""ปัตตานี!L211"")+IMPORTRANGE(""https://docs.google.com/spreadsheets/d/1vl4QWbWdFruual5o_wdo6ZSqXZ_it806oja4CctTLKs/edit?usp=share_link"",""พังงา!L211"")+IMPORTRANGE(""https://docs.google.com/spreadsheets/d/1"&amp;"b6QssHQp2FoAPSMKHOy273KNzAomaIKhtdlvuZ_zDNE/edit?usp=share_link"",""พัทลุง!L211"")+IMPORTRANGE(""https://docs.google.com/spreadsheets/d/1o7UZe4_OqlqtLDHrj01Z2YFRSZDf1DMy1n3XViHaxRc/edit?usp=share_link"",""ภูเก็ต!L211"")+IMPORTRANGE(""https://docs.google.c"&amp;"om/spreadsheets/d/1ctPm1vUzcUCPuOj9-eoHUD85PqINFqUB0TjdSWmR5-c/edit?usp=share_link"",""ยะลา!L211"")+IMPORTRANGE(""https://docs.google.com/spreadsheets/d/1YiDIE7Klmt8osgdapRqYWNr7iPGFSsiJqq46S7PYRE0/edit?usp=share_link"",""ระนอง!L211"")+IMPORTRANGE(""https"&amp;"://docs.google.com/spreadsheets/d/16o_4B-V7AWw_6E93bSpXj_XxVv1oVQctk-B6z1dNEWU/edit?usp=share_link"",""สงขลา!L211"")+IMPORTRANGE(""https://docs.google.com/spreadsheets/d/16cywr71Fj4fA5OGRHsZh30ZG2gwJhMAQv69oVBzYHv0/edit?usp=share_link"",""สตูล!L211"")+IMP"&amp;"ORTRANGE(""https://docs.google.com/spreadsheets/d/1vO9Sws6kMtrVtyvrAJptINXjK8TFBoX9xLYOVK_C8bQ/edit?usp=share_link"",""สุราษฎร์ธานี!L211"")"),50000)</f>
        <v>50000</v>
      </c>
      <c r="M211" s="38"/>
      <c r="N211" s="283">
        <f ca="1">IFERROR(__xludf.DUMMYFUNCTION("IMPORTRANGE(""https://docs.google.com/spreadsheets/d/1kC41EOXpGBFOW658Fs3oD8beYlym0-zO54WY-2Qnp9I/edit?usp=share_link"",""กระบี่!N211"")
+IMPORTRANGE(""https://docs.google.com/spreadsheets/d/1FbzMZY_f3MDiEuK7RpCQKrilJ_kpX0Wm7QBZ1L7EjIU/edit?usp=share_link"&amp;""",""ชุมพร!N211"")+IMPORTRANGE(""https://docs.google.com/spreadsheets/d/1v5sN-00LrXuhBxw4dkh2GrG_z4l5oAqOdJRBCsUyMaM/edit?usp=share_link"",""ตรัง!N211"")+IMPORTRANGE(""https://docs.google.com/spreadsheets/d/1T5rRTzFc79aSIvqnzkZNvwPstq829QYz_xALlO1Z0s8/edi"&amp;"t?usp=share_link"",""นครศรีธรรมราช!N211"")+IMPORTRANGE(""https://docs.google.com/spreadsheets/d/1BeghqumK0IvCmRd2QOy6_afsZq7ZtAGrSnVJy2u7WmY/edit?usp=share_link"",""นราธิวาส!N211"")+IMPORTRANGE(""https://docs.google.com/spreadsheets/d/1IwnW3-jjRf74MCLW-6P"&amp;"iFwMUffRQXZwZA7YM609NmRc/edit?usp=share_link"",""ปัตตานี!N211"")+IMPORTRANGE(""https://docs.google.com/spreadsheets/d/1vl4QWbWdFruual5o_wdo6ZSqXZ_it806oja4CctTLKs/edit?usp=share_link"",""พังงา!N211"")+IMPORTRANGE(""https://docs.google.com/spreadsheets/d/1"&amp;"b6QssHQp2FoAPSMKHOy273KNzAomaIKhtdlvuZ_zDNE/edit?usp=share_link"",""พัทลุง!N211"")+IMPORTRANGE(""https://docs.google.com/spreadsheets/d/1o7UZe4_OqlqtLDHrj01Z2YFRSZDf1DMy1n3XViHaxRc/edit?usp=share_link"",""ภูเก็ต!N211"")+IMPORTRANGE(""https://docs.google.c"&amp;"om/spreadsheets/d/1ctPm1vUzcUCPuOj9-eoHUD85PqINFqUB0TjdSWmR5-c/edit?usp=share_link"",""ยะลา!N211"")+IMPORTRANGE(""https://docs.google.com/spreadsheets/d/1YiDIE7Klmt8osgdapRqYWNr7iPGFSsiJqq46S7PYRE0/edit?usp=share_link"",""ระนอง!N211"")+IMPORTRANGE(""https"&amp;"://docs.google.com/spreadsheets/d/16o_4B-V7AWw_6E93bSpXj_XxVv1oVQctk-B6z1dNEWU/edit?usp=share_link"",""สงขลา!N211"")+IMPORTRANGE(""https://docs.google.com/spreadsheets/d/16cywr71Fj4fA5OGRHsZh30ZG2gwJhMAQv69oVBzYHv0/edit?usp=share_link"",""สตูล!N211"")+IMP"&amp;"ORTRANGE(""https://docs.google.com/spreadsheets/d/1vO9Sws6kMtrVtyvrAJptINXjK8TFBoX9xLYOVK_C8bQ/edit?usp=share_link"",""สุราษฎร์ธานี!N211"")"),40000)</f>
        <v>40000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20.25" customHeight="1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IFERROR(__xludf.DUMMYFUNCTION("IMPORTRANGE(""https://docs.google.com/spreadsheets/d/1kC41EOXpGBFOW658Fs3oD8beYlym0-zO54WY-2Qnp9I/edit?usp=share_link"",""กระบี่!L212"")
+IMPORTRANGE(""https://docs.google.com/spreadsheets/d/1FbzMZY_f3MDiEuK7RpCQKrilJ_kpX0Wm7QBZ1L7EjIU/edit?usp=share_link"&amp;""",""ชุมพร!L212"")+IMPORTRANGE(""https://docs.google.com/spreadsheets/d/1v5sN-00LrXuhBxw4dkh2GrG_z4l5oAqOdJRBCsUyMaM/edit?usp=share_link"",""ตรัง!L212"")+IMPORTRANGE(""https://docs.google.com/spreadsheets/d/1T5rRTzFc79aSIvqnzkZNvwPstq829QYz_xALlO1Z0s8/edi"&amp;"t?usp=share_link"",""นครศรีธรรมราช!L212"")+IMPORTRANGE(""https://docs.google.com/spreadsheets/d/1BeghqumK0IvCmRd2QOy6_afsZq7ZtAGrSnVJy2u7WmY/edit?usp=share_link"",""นราธิวาส!L212"")+IMPORTRANGE(""https://docs.google.com/spreadsheets/d/1IwnW3-jjRf74MCLW-6P"&amp;"iFwMUffRQXZwZA7YM609NmRc/edit?usp=share_link"",""ปัตตานี!L212"")+IMPORTRANGE(""https://docs.google.com/spreadsheets/d/1vl4QWbWdFruual5o_wdo6ZSqXZ_it806oja4CctTLKs/edit?usp=share_link"",""พังงา!L212"")+IMPORTRANGE(""https://docs.google.com/spreadsheets/d/1"&amp;"b6QssHQp2FoAPSMKHOy273KNzAomaIKhtdlvuZ_zDNE/edit?usp=share_link"",""พัทลุง!L212"")+IMPORTRANGE(""https://docs.google.com/spreadsheets/d/1o7UZe4_OqlqtLDHrj01Z2YFRSZDf1DMy1n3XViHaxRc/edit?usp=share_link"",""ภูเก็ต!L212"")+IMPORTRANGE(""https://docs.google.c"&amp;"om/spreadsheets/d/1ctPm1vUzcUCPuOj9-eoHUD85PqINFqUB0TjdSWmR5-c/edit?usp=share_link"",""ยะลา!L212"")+IMPORTRANGE(""https://docs.google.com/spreadsheets/d/1YiDIE7Klmt8osgdapRqYWNr7iPGFSsiJqq46S7PYRE0/edit?usp=share_link"",""ระนอง!L212"")+IMPORTRANGE(""https"&amp;"://docs.google.com/spreadsheets/d/16o_4B-V7AWw_6E93bSpXj_XxVv1oVQctk-B6z1dNEWU/edit?usp=share_link"",""สงขลา!L212"")+IMPORTRANGE(""https://docs.google.com/spreadsheets/d/16cywr71Fj4fA5OGRHsZh30ZG2gwJhMAQv69oVBzYHv0/edit?usp=share_link"",""สตูล!L212"")+IMP"&amp;"ORTRANGE(""https://docs.google.com/spreadsheets/d/1vO9Sws6kMtrVtyvrAJptINXjK8TFBoX9xLYOVK_C8bQ/edit?usp=share_link"",""สุราษฎร์ธานี!L212"")"),80000)</f>
        <v>80000</v>
      </c>
      <c r="M212" s="38"/>
      <c r="N212" s="283">
        <f ca="1">IFERROR(__xludf.DUMMYFUNCTION("IMPORTRANGE(""https://docs.google.com/spreadsheets/d/1kC41EOXpGBFOW658Fs3oD8beYlym0-zO54WY-2Qnp9I/edit?usp=share_link"",""กระบี่!N212"")
+IMPORTRANGE(""https://docs.google.com/spreadsheets/d/1FbzMZY_f3MDiEuK7RpCQKrilJ_kpX0Wm7QBZ1L7EjIU/edit?usp=share_link"&amp;""",""ชุมพร!N212"")+IMPORTRANGE(""https://docs.google.com/spreadsheets/d/1v5sN-00LrXuhBxw4dkh2GrG_z4l5oAqOdJRBCsUyMaM/edit?usp=share_link"",""ตรัง!N212"")+IMPORTRANGE(""https://docs.google.com/spreadsheets/d/1T5rRTzFc79aSIvqnzkZNvwPstq829QYz_xALlO1Z0s8/edi"&amp;"t?usp=share_link"",""นครศรีธรรมราช!N212"")+IMPORTRANGE(""https://docs.google.com/spreadsheets/d/1BeghqumK0IvCmRd2QOy6_afsZq7ZtAGrSnVJy2u7WmY/edit?usp=share_link"",""นราธิวาส!N212"")+IMPORTRANGE(""https://docs.google.com/spreadsheets/d/1IwnW3-jjRf74MCLW-6P"&amp;"iFwMUffRQXZwZA7YM609NmRc/edit?usp=share_link"",""ปัตตานี!N212"")+IMPORTRANGE(""https://docs.google.com/spreadsheets/d/1vl4QWbWdFruual5o_wdo6ZSqXZ_it806oja4CctTLKs/edit?usp=share_link"",""พังงา!N212"")+IMPORTRANGE(""https://docs.google.com/spreadsheets/d/1"&amp;"b6QssHQp2FoAPSMKHOy273KNzAomaIKhtdlvuZ_zDNE/edit?usp=share_link"",""พัทลุง!N212"")+IMPORTRANGE(""https://docs.google.com/spreadsheets/d/1o7UZe4_OqlqtLDHrj01Z2YFRSZDf1DMy1n3XViHaxRc/edit?usp=share_link"",""ภูเก็ต!N212"")+IMPORTRANGE(""https://docs.google.c"&amp;"om/spreadsheets/d/1ctPm1vUzcUCPuOj9-eoHUD85PqINFqUB0TjdSWmR5-c/edit?usp=share_link"",""ยะลา!N212"")+IMPORTRANGE(""https://docs.google.com/spreadsheets/d/1YiDIE7Klmt8osgdapRqYWNr7iPGFSsiJqq46S7PYRE0/edit?usp=share_link"",""ระนอง!N212"")+IMPORTRANGE(""https"&amp;"://docs.google.com/spreadsheets/d/16o_4B-V7AWw_6E93bSpXj_XxVv1oVQctk-B6z1dNEWU/edit?usp=share_link"",""สงขลา!N212"")+IMPORTRANGE(""https://docs.google.com/spreadsheets/d/16cywr71Fj4fA5OGRHsZh30ZG2gwJhMAQv69oVBzYHv0/edit?usp=share_link"",""สตูล!N212"")+IMP"&amp;"ORTRANGE(""https://docs.google.com/spreadsheets/d/1vO9Sws6kMtrVtyvrAJptINXjK8TFBoX9xLYOVK_C8bQ/edit?usp=share_link"",""สุราษฎร์ธานี!N212"")"),80305)</f>
        <v>80305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20.25" customHeight="1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IFERROR(__xludf.DUMMYFUNCTION("IMPORTRANGE(""https://docs.google.com/spreadsheets/d/1kC41EOXpGBFOW658Fs3oD8beYlym0-zO54WY-2Qnp9I/edit?usp=share_link"",""กระบี่!I214"")
+IMPORTRANGE(""https://docs.google.com/spreadsheets/d/1FbzMZY_f3MDiEuK7RpCQKrilJ_kpX0Wm7QBZ1L7EjIU/edit?usp=share_link"&amp;""",""ชุมพร!I214"")+IMPORTRANGE(""https://docs.google.com/spreadsheets/d/1v5sN-00LrXuhBxw4dkh2GrG_z4l5oAqOdJRBCsUyMaM/edit?usp=share_link"",""ตรัง!I214"")+IMPORTRANGE(""https://docs.google.com/spreadsheets/d/1T5rRTzFc79aSIvqnzkZNvwPstq829QYz_xALlO1Z0s8/edi"&amp;"t?usp=share_link"",""นครศรีธรรมราช!I214"")+IMPORTRANGE(""https://docs.google.com/spreadsheets/d/1BeghqumK0IvCmRd2QOy6_afsZq7ZtAGrSnVJy2u7WmY/edit?usp=share_link"",""นราธิวาส!I214"")+IMPORTRANGE(""https://docs.google.com/spreadsheets/d/1IwnW3-jjRf74MCLW-6P"&amp;"iFwMUffRQXZwZA7YM609NmRc/edit?usp=share_link"",""ปัตตานี!I214"")+IMPORTRANGE(""https://docs.google.com/spreadsheets/d/1vl4QWbWdFruual5o_wdo6ZSqXZ_it806oja4CctTLKs/edit?usp=share_link"",""พังงา!I214"")+IMPORTRANGE(""https://docs.google.com/spreadsheets/d/1"&amp;"b6QssHQp2FoAPSMKHOy273KNzAomaIKhtdlvuZ_zDNE/edit?usp=share_link"",""พัทลุง!I214"")+IMPORTRANGE(""https://docs.google.com/spreadsheets/d/1o7UZe4_OqlqtLDHrj01Z2YFRSZDf1DMy1n3XViHaxRc/edit?usp=share_link"",""ภูเก็ต!I214"")+IMPORTRANGE(""https://docs.google.c"&amp;"om/spreadsheets/d/1ctPm1vUzcUCPuOj9-eoHUD85PqINFqUB0TjdSWmR5-c/edit?usp=share_link"",""ยะลา!I214"")+IMPORTRANGE(""https://docs.google.com/spreadsheets/d/1YiDIE7Klmt8osgdapRqYWNr7iPGFSsiJqq46S7PYRE0/edit?usp=share_link"",""ระนอง!I214"")+IMPORTRANGE(""https"&amp;"://docs.google.com/spreadsheets/d/16o_4B-V7AWw_6E93bSpXj_XxVv1oVQctk-B6z1dNEWU/edit?usp=share_link"",""สงขลา!I214"")+IMPORTRANGE(""https://docs.google.com/spreadsheets/d/16cywr71Fj4fA5OGRHsZh30ZG2gwJhMAQv69oVBzYHv0/edit?usp=share_link"",""สตูล!I214"")+IMP"&amp;"ORTRANGE(""https://docs.google.com/spreadsheets/d/1vO9Sws6kMtrVtyvrAJptINXjK8TFBoX9xLYOVK_C8bQ/edit?usp=share_link"",""สุราษฎร์ธานี!I214"")"),10)</f>
        <v>10</v>
      </c>
      <c r="J214" s="183">
        <f ca="1">IFERROR(__xludf.DUMMYFUNCTION("IMPORTRANGE(""https://docs.google.com/spreadsheets/d/1kC41EOXpGBFOW658Fs3oD8beYlym0-zO54WY-2Qnp9I/edit?usp=share_link"",""กระบี่!J214"")
+IMPORTRANGE(""https://docs.google.com/spreadsheets/d/1FbzMZY_f3MDiEuK7RpCQKrilJ_kpX0Wm7QBZ1L7EjIU/edit?usp=share_link"&amp;""",""ชุมพร!J214"")+IMPORTRANGE(""https://docs.google.com/spreadsheets/d/1v5sN-00LrXuhBxw4dkh2GrG_z4l5oAqOdJRBCsUyMaM/edit?usp=share_link"",""ตรัง!J214"")+IMPORTRANGE(""https://docs.google.com/spreadsheets/d/1T5rRTzFc79aSIvqnzkZNvwPstq829QYz_xALlO1Z0s8/edi"&amp;"t?usp=share_link"",""นครศรีธรรมราช!J214"")+IMPORTRANGE(""https://docs.google.com/spreadsheets/d/1BeghqumK0IvCmRd2QOy6_afsZq7ZtAGrSnVJy2u7WmY/edit?usp=share_link"",""นราธิวาส!J214"")+IMPORTRANGE(""https://docs.google.com/spreadsheets/d/1IwnW3-jjRf74MCLW-6P"&amp;"iFwMUffRQXZwZA7YM609NmRc/edit?usp=share_link"",""ปัตตานี!J214"")+IMPORTRANGE(""https://docs.google.com/spreadsheets/d/1vl4QWbWdFruual5o_wdo6ZSqXZ_it806oja4CctTLKs/edit?usp=share_link"",""พังงา!J214"")+IMPORTRANGE(""https://docs.google.com/spreadsheets/d/1"&amp;"b6QssHQp2FoAPSMKHOy273KNzAomaIKhtdlvuZ_zDNE/edit?usp=share_link"",""พัทลุง!J214"")+IMPORTRANGE(""https://docs.google.com/spreadsheets/d/1o7UZe4_OqlqtLDHrj01Z2YFRSZDf1DMy1n3XViHaxRc/edit?usp=share_link"",""ภูเก็ต!J214"")+IMPORTRANGE(""https://docs.google.c"&amp;"om/spreadsheets/d/1ctPm1vUzcUCPuOj9-eoHUD85PqINFqUB0TjdSWmR5-c/edit?usp=share_link"",""ยะลา!J214"")+IMPORTRANGE(""https://docs.google.com/spreadsheets/d/1YiDIE7Klmt8osgdapRqYWNr7iPGFSsiJqq46S7PYRE0/edit?usp=share_link"",""ระนอง!J214"")+IMPORTRANGE(""https"&amp;"://docs.google.com/spreadsheets/d/16o_4B-V7AWw_6E93bSpXj_XxVv1oVQctk-B6z1dNEWU/edit?usp=share_link"",""สงขลา!J214"")+IMPORTRANGE(""https://docs.google.com/spreadsheets/d/16cywr71Fj4fA5OGRHsZh30ZG2gwJhMAQv69oVBzYHv0/edit?usp=share_link"",""สตูล!J214"")+IMP"&amp;"ORTRANGE(""https://docs.google.com/spreadsheets/d/1vO9Sws6kMtrVtyvrAJptINXjK8TFBoX9xLYOVK_C8bQ/edit?usp=share_link"",""สุราษฎร์ธานี!J214"")"),8)</f>
        <v>8</v>
      </c>
      <c r="K214" s="38">
        <f t="shared" ref="K214:K216" ca="1" si="122">IF(I214&gt;0,J214*100/I214,0)</f>
        <v>80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IFERROR(__xludf.DUMMYFUNCTION("IMPORTRANGE(""https://docs.google.com/spreadsheets/d/1kC41EOXpGBFOW658Fs3oD8beYlym0-zO54WY-2Qnp9I/edit?usp=share_link"",""กระบี่!I215"")
+IMPORTRANGE(""https://docs.google.com/spreadsheets/d/1FbzMZY_f3MDiEuK7RpCQKrilJ_kpX0Wm7QBZ1L7EjIU/edit?usp=share_link"&amp;""",""ชุมพร!I215"")+IMPORTRANGE(""https://docs.google.com/spreadsheets/d/1v5sN-00LrXuhBxw4dkh2GrG_z4l5oAqOdJRBCsUyMaM/edit?usp=share_link"",""ตรัง!I215"")+IMPORTRANGE(""https://docs.google.com/spreadsheets/d/1T5rRTzFc79aSIvqnzkZNvwPstq829QYz_xALlO1Z0s8/edi"&amp;"t?usp=share_link"",""นครศรีธรรมราช!I215"")+IMPORTRANGE(""https://docs.google.com/spreadsheets/d/1BeghqumK0IvCmRd2QOy6_afsZq7ZtAGrSnVJy2u7WmY/edit?usp=share_link"",""นราธิวาส!I215"")+IMPORTRANGE(""https://docs.google.com/spreadsheets/d/1IwnW3-jjRf74MCLW-6P"&amp;"iFwMUffRQXZwZA7YM609NmRc/edit?usp=share_link"",""ปัตตานี!I215"")+IMPORTRANGE(""https://docs.google.com/spreadsheets/d/1vl4QWbWdFruual5o_wdo6ZSqXZ_it806oja4CctTLKs/edit?usp=share_link"",""พังงา!I215"")+IMPORTRANGE(""https://docs.google.com/spreadsheets/d/1"&amp;"b6QssHQp2FoAPSMKHOy273KNzAomaIKhtdlvuZ_zDNE/edit?usp=share_link"",""พัทลุง!I215"")+IMPORTRANGE(""https://docs.google.com/spreadsheets/d/1o7UZe4_OqlqtLDHrj01Z2YFRSZDf1DMy1n3XViHaxRc/edit?usp=share_link"",""ภูเก็ต!I215"")+IMPORTRANGE(""https://docs.google.c"&amp;"om/spreadsheets/d/1ctPm1vUzcUCPuOj9-eoHUD85PqINFqUB0TjdSWmR5-c/edit?usp=share_link"",""ยะลา!I215"")+IMPORTRANGE(""https://docs.google.com/spreadsheets/d/1YiDIE7Klmt8osgdapRqYWNr7iPGFSsiJqq46S7PYRE0/edit?usp=share_link"",""ระนอง!I215"")+IMPORTRANGE(""https"&amp;"://docs.google.com/spreadsheets/d/16o_4B-V7AWw_6E93bSpXj_XxVv1oVQctk-B6z1dNEWU/edit?usp=share_link"",""สงขลา!I215"")+IMPORTRANGE(""https://docs.google.com/spreadsheets/d/16cywr71Fj4fA5OGRHsZh30ZG2gwJhMAQv69oVBzYHv0/edit?usp=share_link"",""สตูล!I215"")+IMP"&amp;"ORTRANGE(""https://docs.google.com/spreadsheets/d/1vO9Sws6kMtrVtyvrAJptINXjK8TFBoX9xLYOVK_C8bQ/edit?usp=share_link"",""สุราษฎร์ธานี!I215"")"),10)</f>
        <v>10</v>
      </c>
      <c r="J215" s="183">
        <f ca="1">IFERROR(__xludf.DUMMYFUNCTION("IMPORTRANGE(""https://docs.google.com/spreadsheets/d/1kC41EOXpGBFOW658Fs3oD8beYlym0-zO54WY-2Qnp9I/edit?usp=share_link"",""กระบี่!J215"")
+IMPORTRANGE(""https://docs.google.com/spreadsheets/d/1FbzMZY_f3MDiEuK7RpCQKrilJ_kpX0Wm7QBZ1L7EjIU/edit?usp=share_link"&amp;""",""ชุมพร!J215"")+IMPORTRANGE(""https://docs.google.com/spreadsheets/d/1v5sN-00LrXuhBxw4dkh2GrG_z4l5oAqOdJRBCsUyMaM/edit?usp=share_link"",""ตรัง!J215"")+IMPORTRANGE(""https://docs.google.com/spreadsheets/d/1T5rRTzFc79aSIvqnzkZNvwPstq829QYz_xALlO1Z0s8/edi"&amp;"t?usp=share_link"",""นครศรีธรรมราช!J215"")+IMPORTRANGE(""https://docs.google.com/spreadsheets/d/1BeghqumK0IvCmRd2QOy6_afsZq7ZtAGrSnVJy2u7WmY/edit?usp=share_link"",""นราธิวาส!J215"")+IMPORTRANGE(""https://docs.google.com/spreadsheets/d/1IwnW3-jjRf74MCLW-6P"&amp;"iFwMUffRQXZwZA7YM609NmRc/edit?usp=share_link"",""ปัตตานี!J215"")+IMPORTRANGE(""https://docs.google.com/spreadsheets/d/1vl4QWbWdFruual5o_wdo6ZSqXZ_it806oja4CctTLKs/edit?usp=share_link"",""พังงา!J215"")+IMPORTRANGE(""https://docs.google.com/spreadsheets/d/1"&amp;"b6QssHQp2FoAPSMKHOy273KNzAomaIKhtdlvuZ_zDNE/edit?usp=share_link"",""พัทลุง!J215"")+IMPORTRANGE(""https://docs.google.com/spreadsheets/d/1o7UZe4_OqlqtLDHrj01Z2YFRSZDf1DMy1n3XViHaxRc/edit?usp=share_link"",""ภูเก็ต!J215"")+IMPORTRANGE(""https://docs.google.c"&amp;"om/spreadsheets/d/1ctPm1vUzcUCPuOj9-eoHUD85PqINFqUB0TjdSWmR5-c/edit?usp=share_link"",""ยะลา!J215"")+IMPORTRANGE(""https://docs.google.com/spreadsheets/d/1YiDIE7Klmt8osgdapRqYWNr7iPGFSsiJqq46S7PYRE0/edit?usp=share_link"",""ระนอง!J215"")+IMPORTRANGE(""https"&amp;"://docs.google.com/spreadsheets/d/16o_4B-V7AWw_6E93bSpXj_XxVv1oVQctk-B6z1dNEWU/edit?usp=share_link"",""สงขลา!J215"")+IMPORTRANGE(""https://docs.google.com/spreadsheets/d/16cywr71Fj4fA5OGRHsZh30ZG2gwJhMAQv69oVBzYHv0/edit?usp=share_link"",""สตูล!J215"")+IMP"&amp;"ORTRANGE(""https://docs.google.com/spreadsheets/d/1vO9Sws6kMtrVtyvrAJptINXjK8TFBoX9xLYOVK_C8bQ/edit?usp=share_link"",""สุราษฎร์ธานี!J215"")"),10)</f>
        <v>10</v>
      </c>
      <c r="K215" s="38">
        <f t="shared" ca="1" si="12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3">I224</f>
        <v>239000</v>
      </c>
      <c r="J216" s="272">
        <f t="shared" ca="1" si="123"/>
        <v>59200</v>
      </c>
      <c r="K216" s="273">
        <f t="shared" ca="1" si="122"/>
        <v>24.769874476987447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153600</v>
      </c>
      <c r="M217" s="155"/>
      <c r="N217" s="155">
        <f ca="1">N218+N219+N220</f>
        <v>55151.7</v>
      </c>
      <c r="O217" s="155">
        <f ca="1">IF(L217&gt;0,N217*100/L217,0)</f>
        <v>35.906054687500003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IFERROR(__xludf.DUMMYFUNCTION("IMPORTRANGE(""https://docs.google.com/spreadsheets/d/1kC41EOXpGBFOW658Fs3oD8beYlym0-zO54WY-2Qnp9I/edit?usp=share_link"",""กระบี่!L218"")
+IMPORTRANGE(""https://docs.google.com/spreadsheets/d/1FbzMZY_f3MDiEuK7RpCQKrilJ_kpX0Wm7QBZ1L7EjIU/edit?usp=share_link"&amp;""",""ชุมพร!L218"")+IMPORTRANGE(""https://docs.google.com/spreadsheets/d/1v5sN-00LrXuhBxw4dkh2GrG_z4l5oAqOdJRBCsUyMaM/edit?usp=share_link"",""ตรัง!L218"")+IMPORTRANGE(""https://docs.google.com/spreadsheets/d/1T5rRTzFc79aSIvqnzkZNvwPstq829QYz_xALlO1Z0s8/edi"&amp;"t?usp=share_link"",""นครศรีธรรมราช!L218"")+IMPORTRANGE(""https://docs.google.com/spreadsheets/d/1BeghqumK0IvCmRd2QOy6_afsZq7ZtAGrSnVJy2u7WmY/edit?usp=share_link"",""นราธิวาส!L218"")+IMPORTRANGE(""https://docs.google.com/spreadsheets/d/1IwnW3-jjRf74MCLW-6P"&amp;"iFwMUffRQXZwZA7YM609NmRc/edit?usp=share_link"",""ปัตตานี!L218"")+IMPORTRANGE(""https://docs.google.com/spreadsheets/d/1vl4QWbWdFruual5o_wdo6ZSqXZ_it806oja4CctTLKs/edit?usp=share_link"",""พังงา!L218"")+IMPORTRANGE(""https://docs.google.com/spreadsheets/d/1"&amp;"b6QssHQp2FoAPSMKHOy273KNzAomaIKhtdlvuZ_zDNE/edit?usp=share_link"",""พัทลุง!L218"")+IMPORTRANGE(""https://docs.google.com/spreadsheets/d/1o7UZe4_OqlqtLDHrj01Z2YFRSZDf1DMy1n3XViHaxRc/edit?usp=share_link"",""ภูเก็ต!L218"")+IMPORTRANGE(""https://docs.google.c"&amp;"om/spreadsheets/d/1ctPm1vUzcUCPuOj9-eoHUD85PqINFqUB0TjdSWmR5-c/edit?usp=share_link"",""ยะลา!L218"")+IMPORTRANGE(""https://docs.google.com/spreadsheets/d/1YiDIE7Klmt8osgdapRqYWNr7iPGFSsiJqq46S7PYRE0/edit?usp=share_link"",""ระนอง!L218"")+IMPORTRANGE(""https"&amp;"://docs.google.com/spreadsheets/d/16o_4B-V7AWw_6E93bSpXj_XxVv1oVQctk-B6z1dNEWU/edit?usp=share_link"",""สงขลา!L218"")+IMPORTRANGE(""https://docs.google.com/spreadsheets/d/16cywr71Fj4fA5OGRHsZh30ZG2gwJhMAQv69oVBzYHv0/edit?usp=share_link"",""สตูล!L218"")+IMP"&amp;"ORTRANGE(""https://docs.google.com/spreadsheets/d/1vO9Sws6kMtrVtyvrAJptINXjK8TFBoX9xLYOVK_C8bQ/edit?usp=share_link"",""สุราษฎร์ธานี!L218"")"),43000)</f>
        <v>43000</v>
      </c>
      <c r="M218" s="38"/>
      <c r="N218" s="283">
        <f ca="1">IFERROR(__xludf.DUMMYFUNCTION("IMPORTRANGE(""https://docs.google.com/spreadsheets/d/1kC41EOXpGBFOW658Fs3oD8beYlym0-zO54WY-2Qnp9I/edit?usp=share_link"",""กระบี่!N218"")
+IMPORTRANGE(""https://docs.google.com/spreadsheets/d/1FbzMZY_f3MDiEuK7RpCQKrilJ_kpX0Wm7QBZ1L7EjIU/edit?usp=share_link"&amp;""",""ชุมพร!N218"")+IMPORTRANGE(""https://docs.google.com/spreadsheets/d/1v5sN-00LrXuhBxw4dkh2GrG_z4l5oAqOdJRBCsUyMaM/edit?usp=share_link"",""ตรัง!N218"")+IMPORTRANGE(""https://docs.google.com/spreadsheets/d/1T5rRTzFc79aSIvqnzkZNvwPstq829QYz_xALlO1Z0s8/edi"&amp;"t?usp=share_link"",""นครศรีธรรมราช!N218"")+IMPORTRANGE(""https://docs.google.com/spreadsheets/d/1BeghqumK0IvCmRd2QOy6_afsZq7ZtAGrSnVJy2u7WmY/edit?usp=share_link"",""นราธิวาส!N218"")+IMPORTRANGE(""https://docs.google.com/spreadsheets/d/1IwnW3-jjRf74MCLW-6P"&amp;"iFwMUffRQXZwZA7YM609NmRc/edit?usp=share_link"",""ปัตตานี!N218"")+IMPORTRANGE(""https://docs.google.com/spreadsheets/d/1vl4QWbWdFruual5o_wdo6ZSqXZ_it806oja4CctTLKs/edit?usp=share_link"",""พังงา!N218"")+IMPORTRANGE(""https://docs.google.com/spreadsheets/d/1"&amp;"b6QssHQp2FoAPSMKHOy273KNzAomaIKhtdlvuZ_zDNE/edit?usp=share_link"",""พัทลุง!N218"")+IMPORTRANGE(""https://docs.google.com/spreadsheets/d/1o7UZe4_OqlqtLDHrj01Z2YFRSZDf1DMy1n3XViHaxRc/edit?usp=share_link"",""ภูเก็ต!N218"")+IMPORTRANGE(""https://docs.google.c"&amp;"om/spreadsheets/d/1ctPm1vUzcUCPuOj9-eoHUD85PqINFqUB0TjdSWmR5-c/edit?usp=share_link"",""ยะลา!N218"")+IMPORTRANGE(""https://docs.google.com/spreadsheets/d/1YiDIE7Klmt8osgdapRqYWNr7iPGFSsiJqq46S7PYRE0/edit?usp=share_link"",""ระนอง!N218"")+IMPORTRANGE(""https"&amp;"://docs.google.com/spreadsheets/d/16o_4B-V7AWw_6E93bSpXj_XxVv1oVQctk-B6z1dNEWU/edit?usp=share_link"",""สงขลา!N218"")+IMPORTRANGE(""https://docs.google.com/spreadsheets/d/16cywr71Fj4fA5OGRHsZh30ZG2gwJhMAQv69oVBzYHv0/edit?usp=share_link"",""สตูล!N218"")+IMP"&amp;"ORTRANGE(""https://docs.google.com/spreadsheets/d/1vO9Sws6kMtrVtyvrAJptINXjK8TFBoX9xLYOVK_C8bQ/edit?usp=share_link"",""สุราษฎร์ธานี!N218"")"),9360)</f>
        <v>9360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IFERROR(__xludf.DUMMYFUNCTION("IMPORTRANGE(""https://docs.google.com/spreadsheets/d/1kC41EOXpGBFOW658Fs3oD8beYlym0-zO54WY-2Qnp9I/edit?usp=share_link"",""กระบี่!L219"")
+IMPORTRANGE(""https://docs.google.com/spreadsheets/d/1FbzMZY_f3MDiEuK7RpCQKrilJ_kpX0Wm7QBZ1L7EjIU/edit?usp=share_link"&amp;""",""ชุมพร!L219"")+IMPORTRANGE(""https://docs.google.com/spreadsheets/d/1v5sN-00LrXuhBxw4dkh2GrG_z4l5oAqOdJRBCsUyMaM/edit?usp=share_link"",""ตรัง!L219"")+IMPORTRANGE(""https://docs.google.com/spreadsheets/d/1T5rRTzFc79aSIvqnzkZNvwPstq829QYz_xALlO1Z0s8/edi"&amp;"t?usp=share_link"",""นครศรีธรรมราช!L219"")+IMPORTRANGE(""https://docs.google.com/spreadsheets/d/1BeghqumK0IvCmRd2QOy6_afsZq7ZtAGrSnVJy2u7WmY/edit?usp=share_link"",""นราธิวาส!L219"")+IMPORTRANGE(""https://docs.google.com/spreadsheets/d/1IwnW3-jjRf74MCLW-6P"&amp;"iFwMUffRQXZwZA7YM609NmRc/edit?usp=share_link"",""ปัตตานี!L219"")+IMPORTRANGE(""https://docs.google.com/spreadsheets/d/1vl4QWbWdFruual5o_wdo6ZSqXZ_it806oja4CctTLKs/edit?usp=share_link"",""พังงา!L219"")+IMPORTRANGE(""https://docs.google.com/spreadsheets/d/1"&amp;"b6QssHQp2FoAPSMKHOy273KNzAomaIKhtdlvuZ_zDNE/edit?usp=share_link"",""พัทลุง!L219"")+IMPORTRANGE(""https://docs.google.com/spreadsheets/d/1o7UZe4_OqlqtLDHrj01Z2YFRSZDf1DMy1n3XViHaxRc/edit?usp=share_link"",""ภูเก็ต!L219"")+IMPORTRANGE(""https://docs.google.c"&amp;"om/spreadsheets/d/1ctPm1vUzcUCPuOj9-eoHUD85PqINFqUB0TjdSWmR5-c/edit?usp=share_link"",""ยะลา!L219"")+IMPORTRANGE(""https://docs.google.com/spreadsheets/d/1YiDIE7Klmt8osgdapRqYWNr7iPGFSsiJqq46S7PYRE0/edit?usp=share_link"",""ระนอง!L219"")+IMPORTRANGE(""https"&amp;"://docs.google.com/spreadsheets/d/16o_4B-V7AWw_6E93bSpXj_XxVv1oVQctk-B6z1dNEWU/edit?usp=share_link"",""สงขลา!L219"")+IMPORTRANGE(""https://docs.google.com/spreadsheets/d/16cywr71Fj4fA5OGRHsZh30ZG2gwJhMAQv69oVBzYHv0/edit?usp=share_link"",""สตูล!L219"")+IMP"&amp;"ORTRANGE(""https://docs.google.com/spreadsheets/d/1vO9Sws6kMtrVtyvrAJptINXjK8TFBoX9xLYOVK_C8bQ/edit?usp=share_link"",""สุราษฎร์ธานี!L219"")"),70600)</f>
        <v>70600</v>
      </c>
      <c r="M219" s="38"/>
      <c r="N219" s="283">
        <f ca="1">IFERROR(__xludf.DUMMYFUNCTION("IMPORTRANGE(""https://docs.google.com/spreadsheets/d/1kC41EOXpGBFOW658Fs3oD8beYlym0-zO54WY-2Qnp9I/edit?usp=share_link"",""กระบี่!N219"")
+IMPORTRANGE(""https://docs.google.com/spreadsheets/d/1FbzMZY_f3MDiEuK7RpCQKrilJ_kpX0Wm7QBZ1L7EjIU/edit?usp=share_link"&amp;""",""ชุมพร!N219"")+IMPORTRANGE(""https://docs.google.com/spreadsheets/d/1v5sN-00LrXuhBxw4dkh2GrG_z4l5oAqOdJRBCsUyMaM/edit?usp=share_link"",""ตรัง!N219"")+IMPORTRANGE(""https://docs.google.com/spreadsheets/d/1T5rRTzFc79aSIvqnzkZNvwPstq829QYz_xALlO1Z0s8/edi"&amp;"t?usp=share_link"",""นครศรีธรรมราช!N219"")+IMPORTRANGE(""https://docs.google.com/spreadsheets/d/1BeghqumK0IvCmRd2QOy6_afsZq7ZtAGrSnVJy2u7WmY/edit?usp=share_link"",""นราธิวาส!N219"")+IMPORTRANGE(""https://docs.google.com/spreadsheets/d/1IwnW3-jjRf74MCLW-6P"&amp;"iFwMUffRQXZwZA7YM609NmRc/edit?usp=share_link"",""ปัตตานี!N219"")+IMPORTRANGE(""https://docs.google.com/spreadsheets/d/1vl4QWbWdFruual5o_wdo6ZSqXZ_it806oja4CctTLKs/edit?usp=share_link"",""พังงา!N219"")+IMPORTRANGE(""https://docs.google.com/spreadsheets/d/1"&amp;"b6QssHQp2FoAPSMKHOy273KNzAomaIKhtdlvuZ_zDNE/edit?usp=share_link"",""พัทลุง!N219"")+IMPORTRANGE(""https://docs.google.com/spreadsheets/d/1o7UZe4_OqlqtLDHrj01Z2YFRSZDf1DMy1n3XViHaxRc/edit?usp=share_link"",""ภูเก็ต!N219"")+IMPORTRANGE(""https://docs.google.c"&amp;"om/spreadsheets/d/1ctPm1vUzcUCPuOj9-eoHUD85PqINFqUB0TjdSWmR5-c/edit?usp=share_link"",""ยะลา!N219"")+IMPORTRANGE(""https://docs.google.com/spreadsheets/d/1YiDIE7Klmt8osgdapRqYWNr7iPGFSsiJqq46S7PYRE0/edit?usp=share_link"",""ระนอง!N219"")+IMPORTRANGE(""https"&amp;"://docs.google.com/spreadsheets/d/16o_4B-V7AWw_6E93bSpXj_XxVv1oVQctk-B6z1dNEWU/edit?usp=share_link"",""สงขลา!N219"")+IMPORTRANGE(""https://docs.google.com/spreadsheets/d/16cywr71Fj4fA5OGRHsZh30ZG2gwJhMAQv69oVBzYHv0/edit?usp=share_link"",""สตูล!N219"")+IMP"&amp;"ORTRANGE(""https://docs.google.com/spreadsheets/d/1vO9Sws6kMtrVtyvrAJptINXjK8TFBoX9xLYOVK_C8bQ/edit?usp=share_link"",""สุราษฎร์ธานี!N219"")"),9585)</f>
        <v>9585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20.25" customHeight="1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IFERROR(__xludf.DUMMYFUNCTION("IMPORTRANGE(""https://docs.google.com/spreadsheets/d/1kC41EOXpGBFOW658Fs3oD8beYlym0-zO54WY-2Qnp9I/edit?usp=share_link"",""กระบี่!L220"")
+IMPORTRANGE(""https://docs.google.com/spreadsheets/d/1FbzMZY_f3MDiEuK7RpCQKrilJ_kpX0Wm7QBZ1L7EjIU/edit?usp=share_link"&amp;""",""ชุมพร!L220"")+IMPORTRANGE(""https://docs.google.com/spreadsheets/d/1v5sN-00LrXuhBxw4dkh2GrG_z4l5oAqOdJRBCsUyMaM/edit?usp=share_link"",""ตรัง!L220"")+IMPORTRANGE(""https://docs.google.com/spreadsheets/d/1T5rRTzFc79aSIvqnzkZNvwPstq829QYz_xALlO1Z0s8/edi"&amp;"t?usp=share_link"",""นครศรีธรรมราช!L220"")+IMPORTRANGE(""https://docs.google.com/spreadsheets/d/1BeghqumK0IvCmRd2QOy6_afsZq7ZtAGrSnVJy2u7WmY/edit?usp=share_link"",""นราธิวาส!L220"")+IMPORTRANGE(""https://docs.google.com/spreadsheets/d/1IwnW3-jjRf74MCLW-6P"&amp;"iFwMUffRQXZwZA7YM609NmRc/edit?usp=share_link"",""ปัตตานี!L220"")+IMPORTRANGE(""https://docs.google.com/spreadsheets/d/1vl4QWbWdFruual5o_wdo6ZSqXZ_it806oja4CctTLKs/edit?usp=share_link"",""พังงา!L220"")+IMPORTRANGE(""https://docs.google.com/spreadsheets/d/1"&amp;"b6QssHQp2FoAPSMKHOy273KNzAomaIKhtdlvuZ_zDNE/edit?usp=share_link"",""พัทลุง!L220"")+IMPORTRANGE(""https://docs.google.com/spreadsheets/d/1o7UZe4_OqlqtLDHrj01Z2YFRSZDf1DMy1n3XViHaxRc/edit?usp=share_link"",""ภูเก็ต!L220"")+IMPORTRANGE(""https://docs.google.c"&amp;"om/spreadsheets/d/1ctPm1vUzcUCPuOj9-eoHUD85PqINFqUB0TjdSWmR5-c/edit?usp=share_link"",""ยะลา!L220"")+IMPORTRANGE(""https://docs.google.com/spreadsheets/d/1YiDIE7Klmt8osgdapRqYWNr7iPGFSsiJqq46S7PYRE0/edit?usp=share_link"",""ระนอง!L220"")+IMPORTRANGE(""https"&amp;"://docs.google.com/spreadsheets/d/16o_4B-V7AWw_6E93bSpXj_XxVv1oVQctk-B6z1dNEWU/edit?usp=share_link"",""สงขลา!L220"")+IMPORTRANGE(""https://docs.google.com/spreadsheets/d/16cywr71Fj4fA5OGRHsZh30ZG2gwJhMAQv69oVBzYHv0/edit?usp=share_link"",""สตูล!L220"")+IMP"&amp;"ORTRANGE(""https://docs.google.com/spreadsheets/d/1vO9Sws6kMtrVtyvrAJptINXjK8TFBoX9xLYOVK_C8bQ/edit?usp=share_link"",""สุราษฎร์ธานี!L220"")"),40000)</f>
        <v>40000</v>
      </c>
      <c r="M220" s="38"/>
      <c r="N220" s="283">
        <f ca="1">IFERROR(__xludf.DUMMYFUNCTION("IMPORTRANGE(""https://docs.google.com/spreadsheets/d/1kC41EOXpGBFOW658Fs3oD8beYlym0-zO54WY-2Qnp9I/edit?usp=share_link"",""กระบี่!N220"")
+IMPORTRANGE(""https://docs.google.com/spreadsheets/d/1FbzMZY_f3MDiEuK7RpCQKrilJ_kpX0Wm7QBZ1L7EjIU/edit?usp=share_link"&amp;""",""ชุมพร!N220"")+IMPORTRANGE(""https://docs.google.com/spreadsheets/d/1v5sN-00LrXuhBxw4dkh2GrG_z4l5oAqOdJRBCsUyMaM/edit?usp=share_link"",""ตรัง!N220"")+IMPORTRANGE(""https://docs.google.com/spreadsheets/d/1T5rRTzFc79aSIvqnzkZNvwPstq829QYz_xALlO1Z0s8/edi"&amp;"t?usp=share_link"",""นครศรีธรรมราช!N220"")+IMPORTRANGE(""https://docs.google.com/spreadsheets/d/1BeghqumK0IvCmRd2QOy6_afsZq7ZtAGrSnVJy2u7WmY/edit?usp=share_link"",""นราธิวาส!N220"")+IMPORTRANGE(""https://docs.google.com/spreadsheets/d/1IwnW3-jjRf74MCLW-6P"&amp;"iFwMUffRQXZwZA7YM609NmRc/edit?usp=share_link"",""ปัตตานี!N220"")+IMPORTRANGE(""https://docs.google.com/spreadsheets/d/1vl4QWbWdFruual5o_wdo6ZSqXZ_it806oja4CctTLKs/edit?usp=share_link"",""พังงา!N220"")+IMPORTRANGE(""https://docs.google.com/spreadsheets/d/1"&amp;"b6QssHQp2FoAPSMKHOy273KNzAomaIKhtdlvuZ_zDNE/edit?usp=share_link"",""พัทลุง!N220"")+IMPORTRANGE(""https://docs.google.com/spreadsheets/d/1o7UZe4_OqlqtLDHrj01Z2YFRSZDf1DMy1n3XViHaxRc/edit?usp=share_link"",""ภูเก็ต!N220"")+IMPORTRANGE(""https://docs.google.c"&amp;"om/spreadsheets/d/1ctPm1vUzcUCPuOj9-eoHUD85PqINFqUB0TjdSWmR5-c/edit?usp=share_link"",""ยะลา!N220"")+IMPORTRANGE(""https://docs.google.com/spreadsheets/d/1YiDIE7Klmt8osgdapRqYWNr7iPGFSsiJqq46S7PYRE0/edit?usp=share_link"",""ระนอง!N220"")+IMPORTRANGE(""https"&amp;"://docs.google.com/spreadsheets/d/16o_4B-V7AWw_6E93bSpXj_XxVv1oVQctk-B6z1dNEWU/edit?usp=share_link"",""สงขลา!N220"")+IMPORTRANGE(""https://docs.google.com/spreadsheets/d/16cywr71Fj4fA5OGRHsZh30ZG2gwJhMAQv69oVBzYHv0/edit?usp=share_link"",""สตูล!N220"")+IMP"&amp;"ORTRANGE(""https://docs.google.com/spreadsheets/d/1vO9Sws6kMtrVtyvrAJptINXjK8TFBoX9xLYOVK_C8bQ/edit?usp=share_link"",""สุราษฎร์ธานี!N220"")"),36206.7)</f>
        <v>36206.699999999997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20.25" customHeight="1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IFERROR(__xludf.DUMMYFUNCTION("IMPORTRANGE(""https://docs.google.com/spreadsheets/d/1kC41EOXpGBFOW658Fs3oD8beYlym0-zO54WY-2Qnp9I/edit?usp=share_link"",""กระบี่!I223"")
+IMPORTRANGE(""https://docs.google.com/spreadsheets/d/1FbzMZY_f3MDiEuK7RpCQKrilJ_kpX0Wm7QBZ1L7EjIU/edit?usp=share_link"&amp;""",""ชุมพร!I223"")+IMPORTRANGE(""https://docs.google.com/spreadsheets/d/1v5sN-00LrXuhBxw4dkh2GrG_z4l5oAqOdJRBCsUyMaM/edit?usp=share_link"",""ตรัง!I223"")+IMPORTRANGE(""https://docs.google.com/spreadsheets/d/1T5rRTzFc79aSIvqnzkZNvwPstq829QYz_xALlO1Z0s8/edi"&amp;"t?usp=share_link"",""นครศรีธรรมราช!I223"")+IMPORTRANGE(""https://docs.google.com/spreadsheets/d/1BeghqumK0IvCmRd2QOy6_afsZq7ZtAGrSnVJy2u7WmY/edit?usp=share_link"",""นราธิวาส!I223"")+IMPORTRANGE(""https://docs.google.com/spreadsheets/d/1IwnW3-jjRf74MCLW-6P"&amp;"iFwMUffRQXZwZA7YM609NmRc/edit?usp=share_link"",""ปัตตานี!I223"")+IMPORTRANGE(""https://docs.google.com/spreadsheets/d/1vl4QWbWdFruual5o_wdo6ZSqXZ_it806oja4CctTLKs/edit?usp=share_link"",""พังงา!I223"")+IMPORTRANGE(""https://docs.google.com/spreadsheets/d/1"&amp;"b6QssHQp2FoAPSMKHOy273KNzAomaIKhtdlvuZ_zDNE/edit?usp=share_link"",""พัทลุง!I223"")+IMPORTRANGE(""https://docs.google.com/spreadsheets/d/1o7UZe4_OqlqtLDHrj01Z2YFRSZDf1DMy1n3XViHaxRc/edit?usp=share_link"",""ภูเก็ต!I223"")+IMPORTRANGE(""https://docs.google.c"&amp;"om/spreadsheets/d/1ctPm1vUzcUCPuOj9-eoHUD85PqINFqUB0TjdSWmR5-c/edit?usp=share_link"",""ยะลา!I223"")+IMPORTRANGE(""https://docs.google.com/spreadsheets/d/1YiDIE7Klmt8osgdapRqYWNr7iPGFSsiJqq46S7PYRE0/edit?usp=share_link"",""ระนอง!I223"")+IMPORTRANGE(""https"&amp;"://docs.google.com/spreadsheets/d/16o_4B-V7AWw_6E93bSpXj_XxVv1oVQctk-B6z1dNEWU/edit?usp=share_link"",""สงขลา!I223"")+IMPORTRANGE(""https://docs.google.com/spreadsheets/d/16cywr71Fj4fA5OGRHsZh30ZG2gwJhMAQv69oVBzYHv0/edit?usp=share_link"",""สตูล!I223"")+IMP"&amp;"ORTRANGE(""https://docs.google.com/spreadsheets/d/1vO9Sws6kMtrVtyvrAJptINXjK8TFBoX9xLYOVK_C8bQ/edit?usp=share_link"",""สุราษฎร์ธานี!I223"")"),239000)</f>
        <v>239000</v>
      </c>
      <c r="J223" s="183">
        <f ca="1">IFERROR(__xludf.DUMMYFUNCTION("IMPORTRANGE(""https://docs.google.com/spreadsheets/d/1kC41EOXpGBFOW658Fs3oD8beYlym0-zO54WY-2Qnp9I/edit?usp=share_link"",""กระบี่!J223"")
+IMPORTRANGE(""https://docs.google.com/spreadsheets/d/1FbzMZY_f3MDiEuK7RpCQKrilJ_kpX0Wm7QBZ1L7EjIU/edit?usp=share_link"&amp;""",""ชุมพร!J223"")+IMPORTRANGE(""https://docs.google.com/spreadsheets/d/1v5sN-00LrXuhBxw4dkh2GrG_z4l5oAqOdJRBCsUyMaM/edit?usp=share_link"",""ตรัง!J223"")+IMPORTRANGE(""https://docs.google.com/spreadsheets/d/1T5rRTzFc79aSIvqnzkZNvwPstq829QYz_xALlO1Z0s8/edi"&amp;"t?usp=share_link"",""นครศรีธรรมราช!J223"")+IMPORTRANGE(""https://docs.google.com/spreadsheets/d/1BeghqumK0IvCmRd2QOy6_afsZq7ZtAGrSnVJy2u7WmY/edit?usp=share_link"",""นราธิวาส!J223"")+IMPORTRANGE(""https://docs.google.com/spreadsheets/d/1IwnW3-jjRf74MCLW-6P"&amp;"iFwMUffRQXZwZA7YM609NmRc/edit?usp=share_link"",""ปัตตานี!J223"")+IMPORTRANGE(""https://docs.google.com/spreadsheets/d/1vl4QWbWdFruual5o_wdo6ZSqXZ_it806oja4CctTLKs/edit?usp=share_link"",""พังงา!J223"")+IMPORTRANGE(""https://docs.google.com/spreadsheets/d/1"&amp;"b6QssHQp2FoAPSMKHOy273KNzAomaIKhtdlvuZ_zDNE/edit?usp=share_link"",""พัทลุง!J223"")+IMPORTRANGE(""https://docs.google.com/spreadsheets/d/1o7UZe4_OqlqtLDHrj01Z2YFRSZDf1DMy1n3XViHaxRc/edit?usp=share_link"",""ภูเก็ต!J223"")+IMPORTRANGE(""https://docs.google.c"&amp;"om/spreadsheets/d/1ctPm1vUzcUCPuOj9-eoHUD85PqINFqUB0TjdSWmR5-c/edit?usp=share_link"",""ยะลา!J223"")+IMPORTRANGE(""https://docs.google.com/spreadsheets/d/1YiDIE7Klmt8osgdapRqYWNr7iPGFSsiJqq46S7PYRE0/edit?usp=share_link"",""ระนอง!J223"")+IMPORTRANGE(""https"&amp;"://docs.google.com/spreadsheets/d/16o_4B-V7AWw_6E93bSpXj_XxVv1oVQctk-B6z1dNEWU/edit?usp=share_link"",""สงขลา!J223"")+IMPORTRANGE(""https://docs.google.com/spreadsheets/d/16cywr71Fj4fA5OGRHsZh30ZG2gwJhMAQv69oVBzYHv0/edit?usp=share_link"",""สตูล!J223"")+IMP"&amp;"ORTRANGE(""https://docs.google.com/spreadsheets/d/1vO9Sws6kMtrVtyvrAJptINXjK8TFBoX9xLYOVK_C8bQ/edit?usp=share_link"",""สุราษฎร์ธานี!J223"")"),129200)</f>
        <v>129200</v>
      </c>
      <c r="K223" s="163">
        <f t="shared" ref="K223:K226" ca="1" si="124">IF(I223&gt;0,J223*100/I223,0)</f>
        <v>54.05857740585774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IFERROR(__xludf.DUMMYFUNCTION("IMPORTRANGE(""https://docs.google.com/spreadsheets/d/1kC41EOXpGBFOW658Fs3oD8beYlym0-zO54WY-2Qnp9I/edit?usp=share_link"",""กระบี่!I224"")
+IMPORTRANGE(""https://docs.google.com/spreadsheets/d/1FbzMZY_f3MDiEuK7RpCQKrilJ_kpX0Wm7QBZ1L7EjIU/edit?usp=share_link"&amp;""",""ชุมพร!I224"")+IMPORTRANGE(""https://docs.google.com/spreadsheets/d/1v5sN-00LrXuhBxw4dkh2GrG_z4l5oAqOdJRBCsUyMaM/edit?usp=share_link"",""ตรัง!I224"")+IMPORTRANGE(""https://docs.google.com/spreadsheets/d/1T5rRTzFc79aSIvqnzkZNvwPstq829QYz_xALlO1Z0s8/edi"&amp;"t?usp=share_link"",""นครศรีธรรมราช!I224"")+IMPORTRANGE(""https://docs.google.com/spreadsheets/d/1BeghqumK0IvCmRd2QOy6_afsZq7ZtAGrSnVJy2u7WmY/edit?usp=share_link"",""นราธิวาส!I224"")+IMPORTRANGE(""https://docs.google.com/spreadsheets/d/1IwnW3-jjRf74MCLW-6P"&amp;"iFwMUffRQXZwZA7YM609NmRc/edit?usp=share_link"",""ปัตตานี!I224"")+IMPORTRANGE(""https://docs.google.com/spreadsheets/d/1vl4QWbWdFruual5o_wdo6ZSqXZ_it806oja4CctTLKs/edit?usp=share_link"",""พังงา!I224"")+IMPORTRANGE(""https://docs.google.com/spreadsheets/d/1"&amp;"b6QssHQp2FoAPSMKHOy273KNzAomaIKhtdlvuZ_zDNE/edit?usp=share_link"",""พัทลุง!I224"")+IMPORTRANGE(""https://docs.google.com/spreadsheets/d/1o7UZe4_OqlqtLDHrj01Z2YFRSZDf1DMy1n3XViHaxRc/edit?usp=share_link"",""ภูเก็ต!I224"")+IMPORTRANGE(""https://docs.google.c"&amp;"om/spreadsheets/d/1ctPm1vUzcUCPuOj9-eoHUD85PqINFqUB0TjdSWmR5-c/edit?usp=share_link"",""ยะลา!I224"")+IMPORTRANGE(""https://docs.google.com/spreadsheets/d/1YiDIE7Klmt8osgdapRqYWNr7iPGFSsiJqq46S7PYRE0/edit?usp=share_link"",""ระนอง!I224"")+IMPORTRANGE(""https"&amp;"://docs.google.com/spreadsheets/d/16o_4B-V7AWw_6E93bSpXj_XxVv1oVQctk-B6z1dNEWU/edit?usp=share_link"",""สงขลา!I224"")+IMPORTRANGE(""https://docs.google.com/spreadsheets/d/16cywr71Fj4fA5OGRHsZh30ZG2gwJhMAQv69oVBzYHv0/edit?usp=share_link"",""สตูล!I224"")+IMP"&amp;"ORTRANGE(""https://docs.google.com/spreadsheets/d/1vO9Sws6kMtrVtyvrAJptINXjK8TFBoX9xLYOVK_C8bQ/edit?usp=share_link"",""สุราษฎร์ธานี!I224"")"),239000)</f>
        <v>239000</v>
      </c>
      <c r="J224" s="183">
        <f ca="1">IFERROR(__xludf.DUMMYFUNCTION("IMPORTRANGE(""https://docs.google.com/spreadsheets/d/1kC41EOXpGBFOW658Fs3oD8beYlym0-zO54WY-2Qnp9I/edit?usp=share_link"",""กระบี่!J224"")
+IMPORTRANGE(""https://docs.google.com/spreadsheets/d/1FbzMZY_f3MDiEuK7RpCQKrilJ_kpX0Wm7QBZ1L7EjIU/edit?usp=share_link"&amp;""",""ชุมพร!J224"")+IMPORTRANGE(""https://docs.google.com/spreadsheets/d/1v5sN-00LrXuhBxw4dkh2GrG_z4l5oAqOdJRBCsUyMaM/edit?usp=share_link"",""ตรัง!J224"")+IMPORTRANGE(""https://docs.google.com/spreadsheets/d/1T5rRTzFc79aSIvqnzkZNvwPstq829QYz_xALlO1Z0s8/edi"&amp;"t?usp=share_link"",""นครศรีธรรมราช!J224"")+IMPORTRANGE(""https://docs.google.com/spreadsheets/d/1BeghqumK0IvCmRd2QOy6_afsZq7ZtAGrSnVJy2u7WmY/edit?usp=share_link"",""นราธิวาส!J224"")+IMPORTRANGE(""https://docs.google.com/spreadsheets/d/1IwnW3-jjRf74MCLW-6P"&amp;"iFwMUffRQXZwZA7YM609NmRc/edit?usp=share_link"",""ปัตตานี!J224"")+IMPORTRANGE(""https://docs.google.com/spreadsheets/d/1vl4QWbWdFruual5o_wdo6ZSqXZ_it806oja4CctTLKs/edit?usp=share_link"",""พังงา!J224"")+IMPORTRANGE(""https://docs.google.com/spreadsheets/d/1"&amp;"b6QssHQp2FoAPSMKHOy273KNzAomaIKhtdlvuZ_zDNE/edit?usp=share_link"",""พัทลุง!J224"")+IMPORTRANGE(""https://docs.google.com/spreadsheets/d/1o7UZe4_OqlqtLDHrj01Z2YFRSZDf1DMy1n3XViHaxRc/edit?usp=share_link"",""ภูเก็ต!J224"")+IMPORTRANGE(""https://docs.google.c"&amp;"om/spreadsheets/d/1ctPm1vUzcUCPuOj9-eoHUD85PqINFqUB0TjdSWmR5-c/edit?usp=share_link"",""ยะลา!J224"")+IMPORTRANGE(""https://docs.google.com/spreadsheets/d/1YiDIE7Klmt8osgdapRqYWNr7iPGFSsiJqq46S7PYRE0/edit?usp=share_link"",""ระนอง!J224"")+IMPORTRANGE(""https"&amp;"://docs.google.com/spreadsheets/d/16o_4B-V7AWw_6E93bSpXj_XxVv1oVQctk-B6z1dNEWU/edit?usp=share_link"",""สงขลา!J224"")+IMPORTRANGE(""https://docs.google.com/spreadsheets/d/16cywr71Fj4fA5OGRHsZh30ZG2gwJhMAQv69oVBzYHv0/edit?usp=share_link"",""สตูล!J224"")+IMP"&amp;"ORTRANGE(""https://docs.google.com/spreadsheets/d/1vO9Sws6kMtrVtyvrAJptINXjK8TFBoX9xLYOVK_C8bQ/edit?usp=share_link"",""สุราษฎร์ธานี!J224"")"),59200)</f>
        <v>59200</v>
      </c>
      <c r="K224" s="163">
        <f t="shared" ca="1" si="124"/>
        <v>24.769874476987447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IFERROR(__xludf.DUMMYFUNCTION("IMPORTRANGE(""https://docs.google.com/spreadsheets/d/1kC41EOXpGBFOW658Fs3oD8beYlym0-zO54WY-2Qnp9I/edit?usp=share_link"",""กระบี่!I225"")
+IMPORTRANGE(""https://docs.google.com/spreadsheets/d/1FbzMZY_f3MDiEuK7RpCQKrilJ_kpX0Wm7QBZ1L7EjIU/edit?usp=share_link"&amp;""",""ชุมพร!I225"")+IMPORTRANGE(""https://docs.google.com/spreadsheets/d/1v5sN-00LrXuhBxw4dkh2GrG_z4l5oAqOdJRBCsUyMaM/edit?usp=share_link"",""ตรัง!I225"")+IMPORTRANGE(""https://docs.google.com/spreadsheets/d/1T5rRTzFc79aSIvqnzkZNvwPstq829QYz_xALlO1Z0s8/edi"&amp;"t?usp=share_link"",""นครศรีธรรมราช!I225"")+IMPORTRANGE(""https://docs.google.com/spreadsheets/d/1BeghqumK0IvCmRd2QOy6_afsZq7ZtAGrSnVJy2u7WmY/edit?usp=share_link"",""นราธิวาส!I225"")+IMPORTRANGE(""https://docs.google.com/spreadsheets/d/1IwnW3-jjRf74MCLW-6P"&amp;"iFwMUffRQXZwZA7YM609NmRc/edit?usp=share_link"",""ปัตตานี!I225"")+IMPORTRANGE(""https://docs.google.com/spreadsheets/d/1vl4QWbWdFruual5o_wdo6ZSqXZ_it806oja4CctTLKs/edit?usp=share_link"",""พังงา!I225"")+IMPORTRANGE(""https://docs.google.com/spreadsheets/d/1"&amp;"b6QssHQp2FoAPSMKHOy273KNzAomaIKhtdlvuZ_zDNE/edit?usp=share_link"",""พัทลุง!I225"")+IMPORTRANGE(""https://docs.google.com/spreadsheets/d/1o7UZe4_OqlqtLDHrj01Z2YFRSZDf1DMy1n3XViHaxRc/edit?usp=share_link"",""ภูเก็ต!I225"")+IMPORTRANGE(""https://docs.google.c"&amp;"om/spreadsheets/d/1ctPm1vUzcUCPuOj9-eoHUD85PqINFqUB0TjdSWmR5-c/edit?usp=share_link"",""ยะลา!I225"")+IMPORTRANGE(""https://docs.google.com/spreadsheets/d/1YiDIE7Klmt8osgdapRqYWNr7iPGFSsiJqq46S7PYRE0/edit?usp=share_link"",""ระนอง!I225"")+IMPORTRANGE(""https"&amp;"://docs.google.com/spreadsheets/d/16o_4B-V7AWw_6E93bSpXj_XxVv1oVQctk-B6z1dNEWU/edit?usp=share_link"",""สงขลา!I225"")+IMPORTRANGE(""https://docs.google.com/spreadsheets/d/16cywr71Fj4fA5OGRHsZh30ZG2gwJhMAQv69oVBzYHv0/edit?usp=share_link"",""สตูล!I225"")+IMP"&amp;"ORTRANGE(""https://docs.google.com/spreadsheets/d/1vO9Sws6kMtrVtyvrAJptINXjK8TFBoX9xLYOVK_C8bQ/edit?usp=share_link"",""สุราษฎร์ธานี!I225"")"),40)</f>
        <v>40</v>
      </c>
      <c r="J225" s="183">
        <f ca="1">IFERROR(__xludf.DUMMYFUNCTION("IMPORTRANGE(""https://docs.google.com/spreadsheets/d/1kC41EOXpGBFOW658Fs3oD8beYlym0-zO54WY-2Qnp9I/edit?usp=share_link"",""กระบี่!J225"")
+IMPORTRANGE(""https://docs.google.com/spreadsheets/d/1FbzMZY_f3MDiEuK7RpCQKrilJ_kpX0Wm7QBZ1L7EjIU/edit?usp=share_link"&amp;""",""ชุมพร!J225"")+IMPORTRANGE(""https://docs.google.com/spreadsheets/d/1v5sN-00LrXuhBxw4dkh2GrG_z4l5oAqOdJRBCsUyMaM/edit?usp=share_link"",""ตรัง!J225"")+IMPORTRANGE(""https://docs.google.com/spreadsheets/d/1T5rRTzFc79aSIvqnzkZNvwPstq829QYz_xALlO1Z0s8/edi"&amp;"t?usp=share_link"",""นครศรีธรรมราช!J225"")+IMPORTRANGE(""https://docs.google.com/spreadsheets/d/1BeghqumK0IvCmRd2QOy6_afsZq7ZtAGrSnVJy2u7WmY/edit?usp=share_link"",""นราธิวาส!J225"")+IMPORTRANGE(""https://docs.google.com/spreadsheets/d/1IwnW3-jjRf74MCLW-6P"&amp;"iFwMUffRQXZwZA7YM609NmRc/edit?usp=share_link"",""ปัตตานี!J225"")+IMPORTRANGE(""https://docs.google.com/spreadsheets/d/1vl4QWbWdFruual5o_wdo6ZSqXZ_it806oja4CctTLKs/edit?usp=share_link"",""พังงา!J225"")+IMPORTRANGE(""https://docs.google.com/spreadsheets/d/1"&amp;"b6QssHQp2FoAPSMKHOy273KNzAomaIKhtdlvuZ_zDNE/edit?usp=share_link"",""พัทลุง!J225"")+IMPORTRANGE(""https://docs.google.com/spreadsheets/d/1o7UZe4_OqlqtLDHrj01Z2YFRSZDf1DMy1n3XViHaxRc/edit?usp=share_link"",""ภูเก็ต!J225"")+IMPORTRANGE(""https://docs.google.c"&amp;"om/spreadsheets/d/1ctPm1vUzcUCPuOj9-eoHUD85PqINFqUB0TjdSWmR5-c/edit?usp=share_link"",""ยะลา!J225"")+IMPORTRANGE(""https://docs.google.com/spreadsheets/d/1YiDIE7Klmt8osgdapRqYWNr7iPGFSsiJqq46S7PYRE0/edit?usp=share_link"",""ระนอง!J225"")+IMPORTRANGE(""https"&amp;"://docs.google.com/spreadsheets/d/16o_4B-V7AWw_6E93bSpXj_XxVv1oVQctk-B6z1dNEWU/edit?usp=share_link"",""สงขลา!J225"")+IMPORTRANGE(""https://docs.google.com/spreadsheets/d/16cywr71Fj4fA5OGRHsZh30ZG2gwJhMAQv69oVBzYHv0/edit?usp=share_link"",""สตูล!J225"")+IMP"&amp;"ORTRANGE(""https://docs.google.com/spreadsheets/d/1vO9Sws6kMtrVtyvrAJptINXjK8TFBoX9xLYOVK_C8bQ/edit?usp=share_link"",""สุราษฎร์ธานี!J225"")"),40)</f>
        <v>40</v>
      </c>
      <c r="K225" s="163">
        <f t="shared" ca="1" si="12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5">I237+I248</f>
        <v>100</v>
      </c>
      <c r="J226" s="299">
        <f t="shared" ca="1" si="125"/>
        <v>110</v>
      </c>
      <c r="K226" s="300">
        <f t="shared" ca="1" si="124"/>
        <v>110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20.25" customHeight="1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6">L238+L249</f>
        <v>293300</v>
      </c>
      <c r="M227" s="311"/>
      <c r="N227" s="311">
        <f t="shared" ref="N227:N231" ca="1" si="127">N238+N249</f>
        <v>214602.33000000002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20.25" customHeight="1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6"/>
        <v>165000</v>
      </c>
      <c r="M228" s="322"/>
      <c r="N228" s="322">
        <f t="shared" ca="1" si="127"/>
        <v>119083.33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20.25" customHeight="1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6"/>
        <v>88300</v>
      </c>
      <c r="M229" s="322"/>
      <c r="N229" s="322">
        <f t="shared" ca="1" si="127"/>
        <v>85539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6"/>
        <v>0</v>
      </c>
      <c r="M230" s="322"/>
      <c r="N230" s="322">
        <f t="shared" ca="1" si="127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6"/>
        <v>40000</v>
      </c>
      <c r="M231" s="322"/>
      <c r="N231" s="322">
        <f t="shared" ca="1" si="127"/>
        <v>9980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8">I244+I255</f>
        <v>100</v>
      </c>
      <c r="J233" s="326">
        <f t="shared" ca="1" si="128"/>
        <v>110</v>
      </c>
      <c r="K233" s="322">
        <f ca="1">IF(I233&gt;0,J233*100/I233,0)</f>
        <v>110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29">I246+I257</f>
        <v>0</v>
      </c>
      <c r="J235" s="326">
        <f t="shared" ca="1" si="129"/>
        <v>0</v>
      </c>
      <c r="K235" s="322">
        <f t="shared" ref="K235:K237" ca="1" si="130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1">I247+I258</f>
        <v>4</v>
      </c>
      <c r="J236" s="326">
        <f t="shared" ca="1" si="131"/>
        <v>1</v>
      </c>
      <c r="K236" s="322">
        <f t="shared" ca="1" si="130"/>
        <v>25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2">I244</f>
        <v>100</v>
      </c>
      <c r="J237" s="345">
        <f t="shared" ca="1" si="132"/>
        <v>110</v>
      </c>
      <c r="K237" s="346">
        <f t="shared" ca="1" si="130"/>
        <v>110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293300</v>
      </c>
      <c r="M238" s="356"/>
      <c r="N238" s="356">
        <f ca="1">N239+N240+N241+N242</f>
        <v>214602.33000000002</v>
      </c>
      <c r="O238" s="356">
        <f ca="1">IF(L238&gt;0,N238*100/L238,0)</f>
        <v>73.168199795431292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IFERROR(__xludf.DUMMYFUNCTION("IMPORTRANGE(""https://docs.google.com/spreadsheets/d/1kC41EOXpGBFOW658Fs3oD8beYlym0-zO54WY-2Qnp9I/edit?usp=share_link"",""กระบี่!L239"")
+IMPORTRANGE(""https://docs.google.com/spreadsheets/d/1FbzMZY_f3MDiEuK7RpCQKrilJ_kpX0Wm7QBZ1L7EjIU/edit?usp=share_link"&amp;""",""ชุมพร!L239"")+IMPORTRANGE(""https://docs.google.com/spreadsheets/d/1v5sN-00LrXuhBxw4dkh2GrG_z4l5oAqOdJRBCsUyMaM/edit?usp=share_link"",""ตรัง!L239"")+IMPORTRANGE(""https://docs.google.com/spreadsheets/d/1T5rRTzFc79aSIvqnzkZNvwPstq829QYz_xALlO1Z0s8/edi"&amp;"t?usp=share_link"",""นครศรีธรรมราช!L239"")+IMPORTRANGE(""https://docs.google.com/spreadsheets/d/1BeghqumK0IvCmRd2QOy6_afsZq7ZtAGrSnVJy2u7WmY/edit?usp=share_link"",""นราธิวาส!L239"")+IMPORTRANGE(""https://docs.google.com/spreadsheets/d/1IwnW3-jjRf74MCLW-6P"&amp;"iFwMUffRQXZwZA7YM609NmRc/edit?usp=share_link"",""ปัตตานี!L239"")+IMPORTRANGE(""https://docs.google.com/spreadsheets/d/1vl4QWbWdFruual5o_wdo6ZSqXZ_it806oja4CctTLKs/edit?usp=share_link"",""พังงา!L239"")+IMPORTRANGE(""https://docs.google.com/spreadsheets/d/1"&amp;"b6QssHQp2FoAPSMKHOy273KNzAomaIKhtdlvuZ_zDNE/edit?usp=share_link"",""พัทลุง!L239"")+IMPORTRANGE(""https://docs.google.com/spreadsheets/d/1o7UZe4_OqlqtLDHrj01Z2YFRSZDf1DMy1n3XViHaxRc/edit?usp=share_link"",""ภูเก็ต!L239"")+IMPORTRANGE(""https://docs.google.c"&amp;"om/spreadsheets/d/1ctPm1vUzcUCPuOj9-eoHUD85PqINFqUB0TjdSWmR5-c/edit?usp=share_link"",""ยะลา!L239"")+IMPORTRANGE(""https://docs.google.com/spreadsheets/d/1YiDIE7Klmt8osgdapRqYWNr7iPGFSsiJqq46S7PYRE0/edit?usp=share_link"",""ระนอง!L239"")+IMPORTRANGE(""https"&amp;"://docs.google.com/spreadsheets/d/16o_4B-V7AWw_6E93bSpXj_XxVv1oVQctk-B6z1dNEWU/edit?usp=share_link"",""สงขลา!L239"")+IMPORTRANGE(""https://docs.google.com/spreadsheets/d/16cywr71Fj4fA5OGRHsZh30ZG2gwJhMAQv69oVBzYHv0/edit?usp=share_link"",""สตูล!L239"")+IMP"&amp;"ORTRANGE(""https://docs.google.com/spreadsheets/d/1vO9Sws6kMtrVtyvrAJptINXjK8TFBoX9xLYOVK_C8bQ/edit?usp=share_link"",""สุราษฎร์ธานี!L239"")"),165000)</f>
        <v>165000</v>
      </c>
      <c r="M239" s="45"/>
      <c r="N239" s="358">
        <f ca="1">IFERROR(__xludf.DUMMYFUNCTION("IMPORTRANGE(""https://docs.google.com/spreadsheets/d/1kC41EOXpGBFOW658Fs3oD8beYlym0-zO54WY-2Qnp9I/edit?usp=share_link"",""กระบี่!N239"")
+IMPORTRANGE(""https://docs.google.com/spreadsheets/d/1FbzMZY_f3MDiEuK7RpCQKrilJ_kpX0Wm7QBZ1L7EjIU/edit?usp=share_link"&amp;""",""ชุมพร!N239"")+IMPORTRANGE(""https://docs.google.com/spreadsheets/d/1v5sN-00LrXuhBxw4dkh2GrG_z4l5oAqOdJRBCsUyMaM/edit?usp=share_link"",""ตรัง!N239"")+IMPORTRANGE(""https://docs.google.com/spreadsheets/d/1T5rRTzFc79aSIvqnzkZNvwPstq829QYz_xALlO1Z0s8/edi"&amp;"t?usp=share_link"",""นครศรีธรรมราช!N239"")+IMPORTRANGE(""https://docs.google.com/spreadsheets/d/1BeghqumK0IvCmRd2QOy6_afsZq7ZtAGrSnVJy2u7WmY/edit?usp=share_link"",""นราธิวาส!N239"")+IMPORTRANGE(""https://docs.google.com/spreadsheets/d/1IwnW3-jjRf74MCLW-6P"&amp;"iFwMUffRQXZwZA7YM609NmRc/edit?usp=share_link"",""ปัตตานี!N239"")+IMPORTRANGE(""https://docs.google.com/spreadsheets/d/1vl4QWbWdFruual5o_wdo6ZSqXZ_it806oja4CctTLKs/edit?usp=share_link"",""พังงา!N239"")+IMPORTRANGE(""https://docs.google.com/spreadsheets/d/1"&amp;"b6QssHQp2FoAPSMKHOy273KNzAomaIKhtdlvuZ_zDNE/edit?usp=share_link"",""พัทลุง!N239"")+IMPORTRANGE(""https://docs.google.com/spreadsheets/d/1o7UZe4_OqlqtLDHrj01Z2YFRSZDf1DMy1n3XViHaxRc/edit?usp=share_link"",""ภูเก็ต!N239"")+IMPORTRANGE(""https://docs.google.c"&amp;"om/spreadsheets/d/1ctPm1vUzcUCPuOj9-eoHUD85PqINFqUB0TjdSWmR5-c/edit?usp=share_link"",""ยะลา!N239"")+IMPORTRANGE(""https://docs.google.com/spreadsheets/d/1YiDIE7Klmt8osgdapRqYWNr7iPGFSsiJqq46S7PYRE0/edit?usp=share_link"",""ระนอง!N239"")+IMPORTRANGE(""https"&amp;"://docs.google.com/spreadsheets/d/16o_4B-V7AWw_6E93bSpXj_XxVv1oVQctk-B6z1dNEWU/edit?usp=share_link"",""สงขลา!N239"")+IMPORTRANGE(""https://docs.google.com/spreadsheets/d/16cywr71Fj4fA5OGRHsZh30ZG2gwJhMAQv69oVBzYHv0/edit?usp=share_link"",""สตูล!N239"")+IMP"&amp;"ORTRANGE(""https://docs.google.com/spreadsheets/d/1vO9Sws6kMtrVtyvrAJptINXjK8TFBoX9xLYOVK_C8bQ/edit?usp=share_link"",""สุราษฎร์ธานี!N239"")"),119083.33)</f>
        <v>119083.33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IFERROR(__xludf.DUMMYFUNCTION("IMPORTRANGE(""https://docs.google.com/spreadsheets/d/1kC41EOXpGBFOW658Fs3oD8beYlym0-zO54WY-2Qnp9I/edit?usp=share_link"",""กระบี่!L240"")
+IMPORTRANGE(""https://docs.google.com/spreadsheets/d/1FbzMZY_f3MDiEuK7RpCQKrilJ_kpX0Wm7QBZ1L7EjIU/edit?usp=share_link"&amp;""",""ชุมพร!L240"")+IMPORTRANGE(""https://docs.google.com/spreadsheets/d/1v5sN-00LrXuhBxw4dkh2GrG_z4l5oAqOdJRBCsUyMaM/edit?usp=share_link"",""ตรัง!L240"")+IMPORTRANGE(""https://docs.google.com/spreadsheets/d/1T5rRTzFc79aSIvqnzkZNvwPstq829QYz_xALlO1Z0s8/edi"&amp;"t?usp=share_link"",""นครศรีธรรมราช!L240"")+IMPORTRANGE(""https://docs.google.com/spreadsheets/d/1BeghqumK0IvCmRd2QOy6_afsZq7ZtAGrSnVJy2u7WmY/edit?usp=share_link"",""นราธิวาส!L240"")+IMPORTRANGE(""https://docs.google.com/spreadsheets/d/1IwnW3-jjRf74MCLW-6P"&amp;"iFwMUffRQXZwZA7YM609NmRc/edit?usp=share_link"",""ปัตตานี!L240"")+IMPORTRANGE(""https://docs.google.com/spreadsheets/d/1vl4QWbWdFruual5o_wdo6ZSqXZ_it806oja4CctTLKs/edit?usp=share_link"",""พังงา!L240"")+IMPORTRANGE(""https://docs.google.com/spreadsheets/d/1"&amp;"b6QssHQp2FoAPSMKHOy273KNzAomaIKhtdlvuZ_zDNE/edit?usp=share_link"",""พัทลุง!L240"")+IMPORTRANGE(""https://docs.google.com/spreadsheets/d/1o7UZe4_OqlqtLDHrj01Z2YFRSZDf1DMy1n3XViHaxRc/edit?usp=share_link"",""ภูเก็ต!L240"")+IMPORTRANGE(""https://docs.google.c"&amp;"om/spreadsheets/d/1ctPm1vUzcUCPuOj9-eoHUD85PqINFqUB0TjdSWmR5-c/edit?usp=share_link"",""ยะลา!L240"")+IMPORTRANGE(""https://docs.google.com/spreadsheets/d/1YiDIE7Klmt8osgdapRqYWNr7iPGFSsiJqq46S7PYRE0/edit?usp=share_link"",""ระนอง!L240"")+IMPORTRANGE(""https"&amp;"://docs.google.com/spreadsheets/d/16o_4B-V7AWw_6E93bSpXj_XxVv1oVQctk-B6z1dNEWU/edit?usp=share_link"",""สงขลา!L240"")+IMPORTRANGE(""https://docs.google.com/spreadsheets/d/16cywr71Fj4fA5OGRHsZh30ZG2gwJhMAQv69oVBzYHv0/edit?usp=share_link"",""สตูล!L240"")+IMP"&amp;"ORTRANGE(""https://docs.google.com/spreadsheets/d/1vO9Sws6kMtrVtyvrAJptINXjK8TFBoX9xLYOVK_C8bQ/edit?usp=share_link"",""สุราษฎร์ธานี!L240"")"),88300)</f>
        <v>88300</v>
      </c>
      <c r="M240" s="45"/>
      <c r="N240" s="358">
        <f ca="1">IFERROR(__xludf.DUMMYFUNCTION("IMPORTRANGE(""https://docs.google.com/spreadsheets/d/1kC41EOXpGBFOW658Fs3oD8beYlym0-zO54WY-2Qnp9I/edit?usp=share_link"",""กระบี่!N240"")
+IMPORTRANGE(""https://docs.google.com/spreadsheets/d/1FbzMZY_f3MDiEuK7RpCQKrilJ_kpX0Wm7QBZ1L7EjIU/edit?usp=share_link"&amp;""",""ชุมพร!N240"")+IMPORTRANGE(""https://docs.google.com/spreadsheets/d/1v5sN-00LrXuhBxw4dkh2GrG_z4l5oAqOdJRBCsUyMaM/edit?usp=share_link"",""ตรัง!N240"")+IMPORTRANGE(""https://docs.google.com/spreadsheets/d/1T5rRTzFc79aSIvqnzkZNvwPstq829QYz_xALlO1Z0s8/edi"&amp;"t?usp=share_link"",""นครศรีธรรมราช!N240"")+IMPORTRANGE(""https://docs.google.com/spreadsheets/d/1BeghqumK0IvCmRd2QOy6_afsZq7ZtAGrSnVJy2u7WmY/edit?usp=share_link"",""นราธิวาส!N240"")+IMPORTRANGE(""https://docs.google.com/spreadsheets/d/1IwnW3-jjRf74MCLW-6P"&amp;"iFwMUffRQXZwZA7YM609NmRc/edit?usp=share_link"",""ปัตตานี!N240"")+IMPORTRANGE(""https://docs.google.com/spreadsheets/d/1vl4QWbWdFruual5o_wdo6ZSqXZ_it806oja4CctTLKs/edit?usp=share_link"",""พังงา!N240"")+IMPORTRANGE(""https://docs.google.com/spreadsheets/d/1"&amp;"b6QssHQp2FoAPSMKHOy273KNzAomaIKhtdlvuZ_zDNE/edit?usp=share_link"",""พัทลุง!N240"")+IMPORTRANGE(""https://docs.google.com/spreadsheets/d/1o7UZe4_OqlqtLDHrj01Z2YFRSZDf1DMy1n3XViHaxRc/edit?usp=share_link"",""ภูเก็ต!N240"")+IMPORTRANGE(""https://docs.google.c"&amp;"om/spreadsheets/d/1ctPm1vUzcUCPuOj9-eoHUD85PqINFqUB0TjdSWmR5-c/edit?usp=share_link"",""ยะลา!N240"")+IMPORTRANGE(""https://docs.google.com/spreadsheets/d/1YiDIE7Klmt8osgdapRqYWNr7iPGFSsiJqq46S7PYRE0/edit?usp=share_link"",""ระนอง!N240"")+IMPORTRANGE(""https"&amp;"://docs.google.com/spreadsheets/d/16o_4B-V7AWw_6E93bSpXj_XxVv1oVQctk-B6z1dNEWU/edit?usp=share_link"",""สงขลา!N240"")+IMPORTRANGE(""https://docs.google.com/spreadsheets/d/16cywr71Fj4fA5OGRHsZh30ZG2gwJhMAQv69oVBzYHv0/edit?usp=share_link"",""สตูล!N240"")+IMP"&amp;"ORTRANGE(""https://docs.google.com/spreadsheets/d/1vO9Sws6kMtrVtyvrAJptINXjK8TFBoX9xLYOVK_C8bQ/edit?usp=share_link"",""สุราษฎร์ธานี!N240"")"),85539)</f>
        <v>85539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IFERROR(__xludf.DUMMYFUNCTION("IMPORTRANGE(""https://docs.google.com/spreadsheets/d/1kC41EOXpGBFOW658Fs3oD8beYlym0-zO54WY-2Qnp9I/edit?usp=share_link"",""กระบี่!L241"")
+IMPORTRANGE(""https://docs.google.com/spreadsheets/d/1FbzMZY_f3MDiEuK7RpCQKrilJ_kpX0Wm7QBZ1L7EjIU/edit?usp=share_link"&amp;""",""ชุมพร!L241"")+IMPORTRANGE(""https://docs.google.com/spreadsheets/d/1v5sN-00LrXuhBxw4dkh2GrG_z4l5oAqOdJRBCsUyMaM/edit?usp=share_link"",""ตรัง!L241"")+IMPORTRANGE(""https://docs.google.com/spreadsheets/d/1T5rRTzFc79aSIvqnzkZNvwPstq829QYz_xALlO1Z0s8/edi"&amp;"t?usp=share_link"",""นครศรีธรรมราช!L241"")+IMPORTRANGE(""https://docs.google.com/spreadsheets/d/1BeghqumK0IvCmRd2QOy6_afsZq7ZtAGrSnVJy2u7WmY/edit?usp=share_link"",""นราธิวาส!L241"")+IMPORTRANGE(""https://docs.google.com/spreadsheets/d/1IwnW3-jjRf74MCLW-6P"&amp;"iFwMUffRQXZwZA7YM609NmRc/edit?usp=share_link"",""ปัตตานี!L241"")+IMPORTRANGE(""https://docs.google.com/spreadsheets/d/1vl4QWbWdFruual5o_wdo6ZSqXZ_it806oja4CctTLKs/edit?usp=share_link"",""พังงา!L241"")+IMPORTRANGE(""https://docs.google.com/spreadsheets/d/1"&amp;"b6QssHQp2FoAPSMKHOy273KNzAomaIKhtdlvuZ_zDNE/edit?usp=share_link"",""พัทลุง!L241"")+IMPORTRANGE(""https://docs.google.com/spreadsheets/d/1o7UZe4_OqlqtLDHrj01Z2YFRSZDf1DMy1n3XViHaxRc/edit?usp=share_link"",""ภูเก็ต!L241"")+IMPORTRANGE(""https://docs.google.c"&amp;"om/spreadsheets/d/1ctPm1vUzcUCPuOj9-eoHUD85PqINFqUB0TjdSWmR5-c/edit?usp=share_link"",""ยะลา!L241"")+IMPORTRANGE(""https://docs.google.com/spreadsheets/d/1YiDIE7Klmt8osgdapRqYWNr7iPGFSsiJqq46S7PYRE0/edit?usp=share_link"",""ระนอง!L241"")+IMPORTRANGE(""https"&amp;"://docs.google.com/spreadsheets/d/16o_4B-V7AWw_6E93bSpXj_XxVv1oVQctk-B6z1dNEWU/edit?usp=share_link"",""สงขลา!L241"")+IMPORTRANGE(""https://docs.google.com/spreadsheets/d/16cywr71Fj4fA5OGRHsZh30ZG2gwJhMAQv69oVBzYHv0/edit?usp=share_link"",""สตูล!L241"")+IMP"&amp;"ORTRANGE(""https://docs.google.com/spreadsheets/d/1vO9Sws6kMtrVtyvrAJptINXjK8TFBoX9xLYOVK_C8bQ/edit?usp=share_link"",""สุราษฎร์ธานี!L241"")"),0)</f>
        <v>0</v>
      </c>
      <c r="M241" s="45"/>
      <c r="N241" s="358">
        <f ca="1">IFERROR(__xludf.DUMMYFUNCTION("IMPORTRANGE(""https://docs.google.com/spreadsheets/d/1kC41EOXpGBFOW658Fs3oD8beYlym0-zO54WY-2Qnp9I/edit?usp=share_link"",""กระบี่!N241"")
+IMPORTRANGE(""https://docs.google.com/spreadsheets/d/1FbzMZY_f3MDiEuK7RpCQKrilJ_kpX0Wm7QBZ1L7EjIU/edit?usp=share_link"&amp;""",""ชุมพร!N241"")+IMPORTRANGE(""https://docs.google.com/spreadsheets/d/1v5sN-00LrXuhBxw4dkh2GrG_z4l5oAqOdJRBCsUyMaM/edit?usp=share_link"",""ตรัง!N241"")+IMPORTRANGE(""https://docs.google.com/spreadsheets/d/1T5rRTzFc79aSIvqnzkZNvwPstq829QYz_xALlO1Z0s8/edi"&amp;"t?usp=share_link"",""นครศรีธรรมราช!N241"")+IMPORTRANGE(""https://docs.google.com/spreadsheets/d/1BeghqumK0IvCmRd2QOy6_afsZq7ZtAGrSnVJy2u7WmY/edit?usp=share_link"",""นราธิวาส!N241"")+IMPORTRANGE(""https://docs.google.com/spreadsheets/d/1IwnW3-jjRf74MCLW-6P"&amp;"iFwMUffRQXZwZA7YM609NmRc/edit?usp=share_link"",""ปัตตานี!N241"")+IMPORTRANGE(""https://docs.google.com/spreadsheets/d/1vl4QWbWdFruual5o_wdo6ZSqXZ_it806oja4CctTLKs/edit?usp=share_link"",""พังงา!N241"")+IMPORTRANGE(""https://docs.google.com/spreadsheets/d/1"&amp;"b6QssHQp2FoAPSMKHOy273KNzAomaIKhtdlvuZ_zDNE/edit?usp=share_link"",""พัทลุง!N241"")+IMPORTRANGE(""https://docs.google.com/spreadsheets/d/1o7UZe4_OqlqtLDHrj01Z2YFRSZDf1DMy1n3XViHaxRc/edit?usp=share_link"",""ภูเก็ต!N241"")+IMPORTRANGE(""https://docs.google.c"&amp;"om/spreadsheets/d/1ctPm1vUzcUCPuOj9-eoHUD85PqINFqUB0TjdSWmR5-c/edit?usp=share_link"",""ยะลา!N241"")+IMPORTRANGE(""https://docs.google.com/spreadsheets/d/1YiDIE7Klmt8osgdapRqYWNr7iPGFSsiJqq46S7PYRE0/edit?usp=share_link"",""ระนอง!N241"")+IMPORTRANGE(""https"&amp;"://docs.google.com/spreadsheets/d/16o_4B-V7AWw_6E93bSpXj_XxVv1oVQctk-B6z1dNEWU/edit?usp=share_link"",""สงขลา!N241"")+IMPORTRANGE(""https://docs.google.com/spreadsheets/d/16cywr71Fj4fA5OGRHsZh30ZG2gwJhMAQv69oVBzYHv0/edit?usp=share_link"",""สตูล!N241"")+IMP"&amp;"ORTRANGE(""https://docs.google.com/spreadsheets/d/1vO9Sws6kMtrVtyvrAJptINXjK8TFBoX9xLYOVK_C8bQ/edit?usp=share_link"",""สุราษฎร์ธานี!N241"")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IFERROR(__xludf.DUMMYFUNCTION("IMPORTRANGE(""https://docs.google.com/spreadsheets/d/1kC41EOXpGBFOW658Fs3oD8beYlym0-zO54WY-2Qnp9I/edit?usp=share_link"",""กระบี่!L242"")
+IMPORTRANGE(""https://docs.google.com/spreadsheets/d/1FbzMZY_f3MDiEuK7RpCQKrilJ_kpX0Wm7QBZ1L7EjIU/edit?usp=share_link"&amp;""",""ชุมพร!L242"")+IMPORTRANGE(""https://docs.google.com/spreadsheets/d/1v5sN-00LrXuhBxw4dkh2GrG_z4l5oAqOdJRBCsUyMaM/edit?usp=share_link"",""ตรัง!L242"")+IMPORTRANGE(""https://docs.google.com/spreadsheets/d/1T5rRTzFc79aSIvqnzkZNvwPstq829QYz_xALlO1Z0s8/edi"&amp;"t?usp=share_link"",""นครศรีธรรมราช!L242"")+IMPORTRANGE(""https://docs.google.com/spreadsheets/d/1BeghqumK0IvCmRd2QOy6_afsZq7ZtAGrSnVJy2u7WmY/edit?usp=share_link"",""นราธิวาส!L242"")+IMPORTRANGE(""https://docs.google.com/spreadsheets/d/1IwnW3-jjRf74MCLW-6P"&amp;"iFwMUffRQXZwZA7YM609NmRc/edit?usp=share_link"",""ปัตตานี!L242"")+IMPORTRANGE(""https://docs.google.com/spreadsheets/d/1vl4QWbWdFruual5o_wdo6ZSqXZ_it806oja4CctTLKs/edit?usp=share_link"",""พังงา!L242"")+IMPORTRANGE(""https://docs.google.com/spreadsheets/d/1"&amp;"b6QssHQp2FoAPSMKHOy273KNzAomaIKhtdlvuZ_zDNE/edit?usp=share_link"",""พัทลุง!L242"")+IMPORTRANGE(""https://docs.google.com/spreadsheets/d/1o7UZe4_OqlqtLDHrj01Z2YFRSZDf1DMy1n3XViHaxRc/edit?usp=share_link"",""ภูเก็ต!L242"")+IMPORTRANGE(""https://docs.google.c"&amp;"om/spreadsheets/d/1ctPm1vUzcUCPuOj9-eoHUD85PqINFqUB0TjdSWmR5-c/edit?usp=share_link"",""ยะลา!L242"")+IMPORTRANGE(""https://docs.google.com/spreadsheets/d/1YiDIE7Klmt8osgdapRqYWNr7iPGFSsiJqq46S7PYRE0/edit?usp=share_link"",""ระนอง!L242"")+IMPORTRANGE(""https"&amp;"://docs.google.com/spreadsheets/d/16o_4B-V7AWw_6E93bSpXj_XxVv1oVQctk-B6z1dNEWU/edit?usp=share_link"",""สงขลา!L242"")+IMPORTRANGE(""https://docs.google.com/spreadsheets/d/16cywr71Fj4fA5OGRHsZh30ZG2gwJhMAQv69oVBzYHv0/edit?usp=share_link"",""สตูล!L242"")+IMP"&amp;"ORTRANGE(""https://docs.google.com/spreadsheets/d/1vO9Sws6kMtrVtyvrAJptINXjK8TFBoX9xLYOVK_C8bQ/edit?usp=share_link"",""สุราษฎร์ธานี!L242"")"),40000)</f>
        <v>40000</v>
      </c>
      <c r="M242" s="45"/>
      <c r="N242" s="358">
        <f ca="1">IFERROR(__xludf.DUMMYFUNCTION("IMPORTRANGE(""https://docs.google.com/spreadsheets/d/1kC41EOXpGBFOW658Fs3oD8beYlym0-zO54WY-2Qnp9I/edit?usp=share_link"",""กระบี่!N242"")
+IMPORTRANGE(""https://docs.google.com/spreadsheets/d/1FbzMZY_f3MDiEuK7RpCQKrilJ_kpX0Wm7QBZ1L7EjIU/edit?usp=share_link"&amp;""",""ชุมพร!N242"")+IMPORTRANGE(""https://docs.google.com/spreadsheets/d/1v5sN-00LrXuhBxw4dkh2GrG_z4l5oAqOdJRBCsUyMaM/edit?usp=share_link"",""ตรัง!N242"")+IMPORTRANGE(""https://docs.google.com/spreadsheets/d/1T5rRTzFc79aSIvqnzkZNvwPstq829QYz_xALlO1Z0s8/edi"&amp;"t?usp=share_link"",""นครศรีธรรมราช!N242"")+IMPORTRANGE(""https://docs.google.com/spreadsheets/d/1BeghqumK0IvCmRd2QOy6_afsZq7ZtAGrSnVJy2u7WmY/edit?usp=share_link"",""นราธิวาส!N242"")+IMPORTRANGE(""https://docs.google.com/spreadsheets/d/1IwnW3-jjRf74MCLW-6P"&amp;"iFwMUffRQXZwZA7YM609NmRc/edit?usp=share_link"",""ปัตตานี!N242"")+IMPORTRANGE(""https://docs.google.com/spreadsheets/d/1vl4QWbWdFruual5o_wdo6ZSqXZ_it806oja4CctTLKs/edit?usp=share_link"",""พังงา!N242"")+IMPORTRANGE(""https://docs.google.com/spreadsheets/d/1"&amp;"b6QssHQp2FoAPSMKHOy273KNzAomaIKhtdlvuZ_zDNE/edit?usp=share_link"",""พัทลุง!N242"")+IMPORTRANGE(""https://docs.google.com/spreadsheets/d/1o7UZe4_OqlqtLDHrj01Z2YFRSZDf1DMy1n3XViHaxRc/edit?usp=share_link"",""ภูเก็ต!N242"")+IMPORTRANGE(""https://docs.google.c"&amp;"om/spreadsheets/d/1ctPm1vUzcUCPuOj9-eoHUD85PqINFqUB0TjdSWmR5-c/edit?usp=share_link"",""ยะลา!N242"")+IMPORTRANGE(""https://docs.google.com/spreadsheets/d/1YiDIE7Klmt8osgdapRqYWNr7iPGFSsiJqq46S7PYRE0/edit?usp=share_link"",""ระนอง!N242"")+IMPORTRANGE(""https"&amp;"://docs.google.com/spreadsheets/d/16o_4B-V7AWw_6E93bSpXj_XxVv1oVQctk-B6z1dNEWU/edit?usp=share_link"",""สงขลา!N242"")+IMPORTRANGE(""https://docs.google.com/spreadsheets/d/16cywr71Fj4fA5OGRHsZh30ZG2gwJhMAQv69oVBzYHv0/edit?usp=share_link"",""สตูล!N242"")+IMP"&amp;"ORTRANGE(""https://docs.google.com/spreadsheets/d/1vO9Sws6kMtrVtyvrAJptINXjK8TFBoX9xLYOVK_C8bQ/edit?usp=share_link"",""สุราษฎร์ธานี!N242"")"),9980)</f>
        <v>9980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IFERROR(__xludf.DUMMYFUNCTION("IMPORTRANGE(""https://docs.google.com/spreadsheets/d/1kC41EOXpGBFOW658Fs3oD8beYlym0-zO54WY-2Qnp9I/edit?usp=share_link"",""กระบี่!I244"")
+IMPORTRANGE(""https://docs.google.com/spreadsheets/d/1FbzMZY_f3MDiEuK7RpCQKrilJ_kpX0Wm7QBZ1L7EjIU/edit?usp=share_link"&amp;""",""ชุมพร!I244"")+IMPORTRANGE(""https://docs.google.com/spreadsheets/d/1v5sN-00LrXuhBxw4dkh2GrG_z4l5oAqOdJRBCsUyMaM/edit?usp=share_link"",""ตรัง!I244"")+IMPORTRANGE(""https://docs.google.com/spreadsheets/d/1T5rRTzFc79aSIvqnzkZNvwPstq829QYz_xALlO1Z0s8/edi"&amp;"t?usp=share_link"",""นครศรีธรรมราช!I244"")+IMPORTRANGE(""https://docs.google.com/spreadsheets/d/1BeghqumK0IvCmRd2QOy6_afsZq7ZtAGrSnVJy2u7WmY/edit?usp=share_link"",""นราธิวาส!I244"")+IMPORTRANGE(""https://docs.google.com/spreadsheets/d/1IwnW3-jjRf74MCLW-6P"&amp;"iFwMUffRQXZwZA7YM609NmRc/edit?usp=share_link"",""ปัตตานี!I244"")+IMPORTRANGE(""https://docs.google.com/spreadsheets/d/1vl4QWbWdFruual5o_wdo6ZSqXZ_it806oja4CctTLKs/edit?usp=share_link"",""พังงา!I244"")+IMPORTRANGE(""https://docs.google.com/spreadsheets/d/1"&amp;"b6QssHQp2FoAPSMKHOy273KNzAomaIKhtdlvuZ_zDNE/edit?usp=share_link"",""พัทลุง!I244"")+IMPORTRANGE(""https://docs.google.com/spreadsheets/d/1o7UZe4_OqlqtLDHrj01Z2YFRSZDf1DMy1n3XViHaxRc/edit?usp=share_link"",""ภูเก็ต!I244"")+IMPORTRANGE(""https://docs.google.c"&amp;"om/spreadsheets/d/1ctPm1vUzcUCPuOj9-eoHUD85PqINFqUB0TjdSWmR5-c/edit?usp=share_link"",""ยะลา!I244"")+IMPORTRANGE(""https://docs.google.com/spreadsheets/d/1YiDIE7Klmt8osgdapRqYWNr7iPGFSsiJqq46S7PYRE0/edit?usp=share_link"",""ระนอง!I244"")+IMPORTRANGE(""https"&amp;"://docs.google.com/spreadsheets/d/16o_4B-V7AWw_6E93bSpXj_XxVv1oVQctk-B6z1dNEWU/edit?usp=share_link"",""สงขลา!I244"")+IMPORTRANGE(""https://docs.google.com/spreadsheets/d/16cywr71Fj4fA5OGRHsZh30ZG2gwJhMAQv69oVBzYHv0/edit?usp=share_link"",""สตูล!I244"")+IMP"&amp;"ORTRANGE(""https://docs.google.com/spreadsheets/d/1vO9Sws6kMtrVtyvrAJptINXjK8TFBoX9xLYOVK_C8bQ/edit?usp=share_link"",""สุราษฎร์ธานี!I244"")"),100)</f>
        <v>100</v>
      </c>
      <c r="J244" s="371">
        <f ca="1">IFERROR(__xludf.DUMMYFUNCTION("IMPORTRANGE(""https://docs.google.com/spreadsheets/d/1kC41EOXpGBFOW658Fs3oD8beYlym0-zO54WY-2Qnp9I/edit?usp=share_link"",""กระบี่!J244"")
+IMPORTRANGE(""https://docs.google.com/spreadsheets/d/1FbzMZY_f3MDiEuK7RpCQKrilJ_kpX0Wm7QBZ1L7EjIU/edit?usp=share_link"&amp;""",""ชุมพร!J244"")+IMPORTRANGE(""https://docs.google.com/spreadsheets/d/1v5sN-00LrXuhBxw4dkh2GrG_z4l5oAqOdJRBCsUyMaM/edit?usp=share_link"",""ตรัง!J244"")+IMPORTRANGE(""https://docs.google.com/spreadsheets/d/1T5rRTzFc79aSIvqnzkZNvwPstq829QYz_xALlO1Z0s8/edi"&amp;"t?usp=share_link"",""นครศรีธรรมราช!J244"")+IMPORTRANGE(""https://docs.google.com/spreadsheets/d/1BeghqumK0IvCmRd2QOy6_afsZq7ZtAGrSnVJy2u7WmY/edit?usp=share_link"",""นราธิวาส!J244"")+IMPORTRANGE(""https://docs.google.com/spreadsheets/d/1IwnW3-jjRf74MCLW-6P"&amp;"iFwMUffRQXZwZA7YM609NmRc/edit?usp=share_link"",""ปัตตานี!J244"")+IMPORTRANGE(""https://docs.google.com/spreadsheets/d/1vl4QWbWdFruual5o_wdo6ZSqXZ_it806oja4CctTLKs/edit?usp=share_link"",""พังงา!J244"")+IMPORTRANGE(""https://docs.google.com/spreadsheets/d/1"&amp;"b6QssHQp2FoAPSMKHOy273KNzAomaIKhtdlvuZ_zDNE/edit?usp=share_link"",""พัทลุง!J244"")+IMPORTRANGE(""https://docs.google.com/spreadsheets/d/1o7UZe4_OqlqtLDHrj01Z2YFRSZDf1DMy1n3XViHaxRc/edit?usp=share_link"",""ภูเก็ต!J244"")+IMPORTRANGE(""https://docs.google.c"&amp;"om/spreadsheets/d/1ctPm1vUzcUCPuOj9-eoHUD85PqINFqUB0TjdSWmR5-c/edit?usp=share_link"",""ยะลา!J244"")+IMPORTRANGE(""https://docs.google.com/spreadsheets/d/1YiDIE7Klmt8osgdapRqYWNr7iPGFSsiJqq46S7PYRE0/edit?usp=share_link"",""ระนอง!J244"")+IMPORTRANGE(""https"&amp;"://docs.google.com/spreadsheets/d/16o_4B-V7AWw_6E93bSpXj_XxVv1oVQctk-B6z1dNEWU/edit?usp=share_link"",""สงขลา!J244"")+IMPORTRANGE(""https://docs.google.com/spreadsheets/d/16cywr71Fj4fA5OGRHsZh30ZG2gwJhMAQv69oVBzYHv0/edit?usp=share_link"",""สตูล!J244"")+IMP"&amp;"ORTRANGE(""https://docs.google.com/spreadsheets/d/1vO9Sws6kMtrVtyvrAJptINXjK8TFBoX9xLYOVK_C8bQ/edit?usp=share_link"",""สุราษฎร์ธานี!J244"")"),110)</f>
        <v>110</v>
      </c>
      <c r="K244" s="45">
        <f ca="1">IF(I244&gt;0,J244*100/I244,0)</f>
        <v>110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IFERROR(__xludf.DUMMYFUNCTION("IMPORTRANGE(""https://docs.google.com/spreadsheets/d/1kC41EOXpGBFOW658Fs3oD8beYlym0-zO54WY-2Qnp9I/edit?usp=share_link"",""กระบี่!I246"")
+IMPORTRANGE(""https://docs.google.com/spreadsheets/d/1FbzMZY_f3MDiEuK7RpCQKrilJ_kpX0Wm7QBZ1L7EjIU/edit?usp=share_link"&amp;""",""ชุมพร!I246"")+IMPORTRANGE(""https://docs.google.com/spreadsheets/d/1v5sN-00LrXuhBxw4dkh2GrG_z4l5oAqOdJRBCsUyMaM/edit?usp=share_link"",""ตรัง!I246"")+IMPORTRANGE(""https://docs.google.com/spreadsheets/d/1T5rRTzFc79aSIvqnzkZNvwPstq829QYz_xALlO1Z0s8/edi"&amp;"t?usp=share_link"",""นครศรีธรรมราช!I246"")+IMPORTRANGE(""https://docs.google.com/spreadsheets/d/1BeghqumK0IvCmRd2QOy6_afsZq7ZtAGrSnVJy2u7WmY/edit?usp=share_link"",""นราธิวาส!I246"")+IMPORTRANGE(""https://docs.google.com/spreadsheets/d/1IwnW3-jjRf74MCLW-6P"&amp;"iFwMUffRQXZwZA7YM609NmRc/edit?usp=share_link"",""ปัตตานี!I246"")+IMPORTRANGE(""https://docs.google.com/spreadsheets/d/1vl4QWbWdFruual5o_wdo6ZSqXZ_it806oja4CctTLKs/edit?usp=share_link"",""พังงา!I246"")+IMPORTRANGE(""https://docs.google.com/spreadsheets/d/1"&amp;"b6QssHQp2FoAPSMKHOy273KNzAomaIKhtdlvuZ_zDNE/edit?usp=share_link"",""พัทลุง!I246"")+IMPORTRANGE(""https://docs.google.com/spreadsheets/d/1o7UZe4_OqlqtLDHrj01Z2YFRSZDf1DMy1n3XViHaxRc/edit?usp=share_link"",""ภูเก็ต!I246"")+IMPORTRANGE(""https://docs.google.c"&amp;"om/spreadsheets/d/1ctPm1vUzcUCPuOj9-eoHUD85PqINFqUB0TjdSWmR5-c/edit?usp=share_link"",""ยะลา!I246"")+IMPORTRANGE(""https://docs.google.com/spreadsheets/d/1YiDIE7Klmt8osgdapRqYWNr7iPGFSsiJqq46S7PYRE0/edit?usp=share_link"",""ระนอง!I246"")+IMPORTRANGE(""https"&amp;"://docs.google.com/spreadsheets/d/16o_4B-V7AWw_6E93bSpXj_XxVv1oVQctk-B6z1dNEWU/edit?usp=share_link"",""สงขลา!I246"")+IMPORTRANGE(""https://docs.google.com/spreadsheets/d/16cywr71Fj4fA5OGRHsZh30ZG2gwJhMAQv69oVBzYHv0/edit?usp=share_link"",""สตูล!I246"")+IMP"&amp;"ORTRANGE(""https://docs.google.com/spreadsheets/d/1vO9Sws6kMtrVtyvrAJptINXjK8TFBoX9xLYOVK_C8bQ/edit?usp=share_link"",""สุราษฎร์ธานี!I246"")"),0)</f>
        <v>0</v>
      </c>
      <c r="J246" s="371">
        <f ca="1">IFERROR(__xludf.DUMMYFUNCTION("IMPORTRANGE(""https://docs.google.com/spreadsheets/d/1kC41EOXpGBFOW658Fs3oD8beYlym0-zO54WY-2Qnp9I/edit?usp=share_link"",""กระบี่!J246"")
+IMPORTRANGE(""https://docs.google.com/spreadsheets/d/1FbzMZY_f3MDiEuK7RpCQKrilJ_kpX0Wm7QBZ1L7EjIU/edit?usp=share_link"&amp;""",""ชุมพร!J246"")+IMPORTRANGE(""https://docs.google.com/spreadsheets/d/1v5sN-00LrXuhBxw4dkh2GrG_z4l5oAqOdJRBCsUyMaM/edit?usp=share_link"",""ตรัง!J246"")+IMPORTRANGE(""https://docs.google.com/spreadsheets/d/1T5rRTzFc79aSIvqnzkZNvwPstq829QYz_xALlO1Z0s8/edi"&amp;"t?usp=share_link"",""นครศรีธรรมราช!J246"")+IMPORTRANGE(""https://docs.google.com/spreadsheets/d/1BeghqumK0IvCmRd2QOy6_afsZq7ZtAGrSnVJy2u7WmY/edit?usp=share_link"",""นราธิวาส!J246"")+IMPORTRANGE(""https://docs.google.com/spreadsheets/d/1IwnW3-jjRf74MCLW-6P"&amp;"iFwMUffRQXZwZA7YM609NmRc/edit?usp=share_link"",""ปัตตานี!J246"")+IMPORTRANGE(""https://docs.google.com/spreadsheets/d/1vl4QWbWdFruual5o_wdo6ZSqXZ_it806oja4CctTLKs/edit?usp=share_link"",""พังงา!J246"")+IMPORTRANGE(""https://docs.google.com/spreadsheets/d/1"&amp;"b6QssHQp2FoAPSMKHOy273KNzAomaIKhtdlvuZ_zDNE/edit?usp=share_link"",""พัทลุง!J246"")+IMPORTRANGE(""https://docs.google.com/spreadsheets/d/1o7UZe4_OqlqtLDHrj01Z2YFRSZDf1DMy1n3XViHaxRc/edit?usp=share_link"",""ภูเก็ต!J246"")+IMPORTRANGE(""https://docs.google.c"&amp;"om/spreadsheets/d/1ctPm1vUzcUCPuOj9-eoHUD85PqINFqUB0TjdSWmR5-c/edit?usp=share_link"",""ยะลา!J246"")+IMPORTRANGE(""https://docs.google.com/spreadsheets/d/1YiDIE7Klmt8osgdapRqYWNr7iPGFSsiJqq46S7PYRE0/edit?usp=share_link"",""ระนอง!J246"")+IMPORTRANGE(""https"&amp;"://docs.google.com/spreadsheets/d/16o_4B-V7AWw_6E93bSpXj_XxVv1oVQctk-B6z1dNEWU/edit?usp=share_link"",""สงขลา!J246"")+IMPORTRANGE(""https://docs.google.com/spreadsheets/d/16cywr71Fj4fA5OGRHsZh30ZG2gwJhMAQv69oVBzYHv0/edit?usp=share_link"",""สตูล!J246"")+IMP"&amp;"ORTRANGE(""https://docs.google.com/spreadsheets/d/1vO9Sws6kMtrVtyvrAJptINXjK8TFBoX9xLYOVK_C8bQ/edit?usp=share_link"",""สุราษฎร์ธานี!J246"")"),0)</f>
        <v>0</v>
      </c>
      <c r="K246" s="45">
        <f t="shared" ref="K246:K248" ca="1" si="133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IFERROR(__xludf.DUMMYFUNCTION("IMPORTRANGE(""https://docs.google.com/spreadsheets/d/1kC41EOXpGBFOW658Fs3oD8beYlym0-zO54WY-2Qnp9I/edit?usp=share_link"",""กระบี่!I247"")
+IMPORTRANGE(""https://docs.google.com/spreadsheets/d/1FbzMZY_f3MDiEuK7RpCQKrilJ_kpX0Wm7QBZ1L7EjIU/edit?usp=share_link"&amp;""",""ชุมพร!I247"")+IMPORTRANGE(""https://docs.google.com/spreadsheets/d/1v5sN-00LrXuhBxw4dkh2GrG_z4l5oAqOdJRBCsUyMaM/edit?usp=share_link"",""ตรัง!I247"")+IMPORTRANGE(""https://docs.google.com/spreadsheets/d/1T5rRTzFc79aSIvqnzkZNvwPstq829QYz_xALlO1Z0s8/edi"&amp;"t?usp=share_link"",""นครศรีธรรมราช!I247"")+IMPORTRANGE(""https://docs.google.com/spreadsheets/d/1BeghqumK0IvCmRd2QOy6_afsZq7ZtAGrSnVJy2u7WmY/edit?usp=share_link"",""นราธิวาส!I247"")+IMPORTRANGE(""https://docs.google.com/spreadsheets/d/1IwnW3-jjRf74MCLW-6P"&amp;"iFwMUffRQXZwZA7YM609NmRc/edit?usp=share_link"",""ปัตตานี!I247"")+IMPORTRANGE(""https://docs.google.com/spreadsheets/d/1vl4QWbWdFruual5o_wdo6ZSqXZ_it806oja4CctTLKs/edit?usp=share_link"",""พังงา!I247"")+IMPORTRANGE(""https://docs.google.com/spreadsheets/d/1"&amp;"b6QssHQp2FoAPSMKHOy273KNzAomaIKhtdlvuZ_zDNE/edit?usp=share_link"",""พัทลุง!I247"")+IMPORTRANGE(""https://docs.google.com/spreadsheets/d/1o7UZe4_OqlqtLDHrj01Z2YFRSZDf1DMy1n3XViHaxRc/edit?usp=share_link"",""ภูเก็ต!I247"")+IMPORTRANGE(""https://docs.google.c"&amp;"om/spreadsheets/d/1ctPm1vUzcUCPuOj9-eoHUD85PqINFqUB0TjdSWmR5-c/edit?usp=share_link"",""ยะลา!I247"")+IMPORTRANGE(""https://docs.google.com/spreadsheets/d/1YiDIE7Klmt8osgdapRqYWNr7iPGFSsiJqq46S7PYRE0/edit?usp=share_link"",""ระนอง!I247"")+IMPORTRANGE(""https"&amp;"://docs.google.com/spreadsheets/d/16o_4B-V7AWw_6E93bSpXj_XxVv1oVQctk-B6z1dNEWU/edit?usp=share_link"",""สงขลา!I247"")+IMPORTRANGE(""https://docs.google.com/spreadsheets/d/16cywr71Fj4fA5OGRHsZh30ZG2gwJhMAQv69oVBzYHv0/edit?usp=share_link"",""สตูล!I247"")+IMP"&amp;"ORTRANGE(""https://docs.google.com/spreadsheets/d/1vO9Sws6kMtrVtyvrAJptINXjK8TFBoX9xLYOVK_C8bQ/edit?usp=share_link"",""สุราษฎร์ธานี!I247"")"),4)</f>
        <v>4</v>
      </c>
      <c r="J247" s="371">
        <f ca="1">IFERROR(__xludf.DUMMYFUNCTION("IMPORTRANGE(""https://docs.google.com/spreadsheets/d/1kC41EOXpGBFOW658Fs3oD8beYlym0-zO54WY-2Qnp9I/edit?usp=share_link"",""กระบี่!J247"")
+IMPORTRANGE(""https://docs.google.com/spreadsheets/d/1FbzMZY_f3MDiEuK7RpCQKrilJ_kpX0Wm7QBZ1L7EjIU/edit?usp=share_link"&amp;""",""ชุมพร!J247"")+IMPORTRANGE(""https://docs.google.com/spreadsheets/d/1v5sN-00LrXuhBxw4dkh2GrG_z4l5oAqOdJRBCsUyMaM/edit?usp=share_link"",""ตรัง!J247"")+IMPORTRANGE(""https://docs.google.com/spreadsheets/d/1T5rRTzFc79aSIvqnzkZNvwPstq829QYz_xALlO1Z0s8/edi"&amp;"t?usp=share_link"",""นครศรีธรรมราช!J247"")+IMPORTRANGE(""https://docs.google.com/spreadsheets/d/1BeghqumK0IvCmRd2QOy6_afsZq7ZtAGrSnVJy2u7WmY/edit?usp=share_link"",""นราธิวาส!J247"")+IMPORTRANGE(""https://docs.google.com/spreadsheets/d/1IwnW3-jjRf74MCLW-6P"&amp;"iFwMUffRQXZwZA7YM609NmRc/edit?usp=share_link"",""ปัตตานี!J247"")+IMPORTRANGE(""https://docs.google.com/spreadsheets/d/1vl4QWbWdFruual5o_wdo6ZSqXZ_it806oja4CctTLKs/edit?usp=share_link"",""พังงา!J247"")+IMPORTRANGE(""https://docs.google.com/spreadsheets/d/1"&amp;"b6QssHQp2FoAPSMKHOy273KNzAomaIKhtdlvuZ_zDNE/edit?usp=share_link"",""พัทลุง!J247"")+IMPORTRANGE(""https://docs.google.com/spreadsheets/d/1o7UZe4_OqlqtLDHrj01Z2YFRSZDf1DMy1n3XViHaxRc/edit?usp=share_link"",""ภูเก็ต!J247"")+IMPORTRANGE(""https://docs.google.c"&amp;"om/spreadsheets/d/1ctPm1vUzcUCPuOj9-eoHUD85PqINFqUB0TjdSWmR5-c/edit?usp=share_link"",""ยะลา!J247"")+IMPORTRANGE(""https://docs.google.com/spreadsheets/d/1YiDIE7Klmt8osgdapRqYWNr7iPGFSsiJqq46S7PYRE0/edit?usp=share_link"",""ระนอง!J247"")+IMPORTRANGE(""https"&amp;"://docs.google.com/spreadsheets/d/16o_4B-V7AWw_6E93bSpXj_XxVv1oVQctk-B6z1dNEWU/edit?usp=share_link"",""สงขลา!J247"")+IMPORTRANGE(""https://docs.google.com/spreadsheets/d/16cywr71Fj4fA5OGRHsZh30ZG2gwJhMAQv69oVBzYHv0/edit?usp=share_link"",""สตูล!J247"")+IMP"&amp;"ORTRANGE(""https://docs.google.com/spreadsheets/d/1vO9Sws6kMtrVtyvrAJptINXjK8TFBoX9xLYOVK_C8bQ/edit?usp=share_link"",""สุราษฎร์ธานี!J247"")"),1)</f>
        <v>1</v>
      </c>
      <c r="K247" s="45">
        <f t="shared" ca="1" si="133"/>
        <v>25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t="shared" ca="1" si="133"/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IFERROR(__xludf.DUMMYFUNCTION("IMPORTRANGE(""https://docs.google.com/spreadsheets/d/1kC41EOXpGBFOW658Fs3oD8beYlym0-zO54WY-2Qnp9I/edit?usp=share_link"",""กระบี่!L250"")
+IMPORTRANGE(""https://docs.google.com/spreadsheets/d/1FbzMZY_f3MDiEuK7RpCQKrilJ_kpX0Wm7QBZ1L7EjIU/edit?usp=share_link"&amp;""",""ชุมพร!L250"")+IMPORTRANGE(""https://docs.google.com/spreadsheets/d/1v5sN-00LrXuhBxw4dkh2GrG_z4l5oAqOdJRBCsUyMaM/edit?usp=share_link"",""ตรัง!L250"")+IMPORTRANGE(""https://docs.google.com/spreadsheets/d/1T5rRTzFc79aSIvqnzkZNvwPstq829QYz_xALlO1Z0s8/edi"&amp;"t?usp=share_link"",""นครศรีธรรมราช!L250"")+IMPORTRANGE(""https://docs.google.com/spreadsheets/d/1BeghqumK0IvCmRd2QOy6_afsZq7ZtAGrSnVJy2u7WmY/edit?usp=share_link"",""นราธิวาส!L250"")+IMPORTRANGE(""https://docs.google.com/spreadsheets/d/1IwnW3-jjRf74MCLW-6P"&amp;"iFwMUffRQXZwZA7YM609NmRc/edit?usp=share_link"",""ปัตตานี!L250"")+IMPORTRANGE(""https://docs.google.com/spreadsheets/d/1vl4QWbWdFruual5o_wdo6ZSqXZ_it806oja4CctTLKs/edit?usp=share_link"",""พังงา!L250"")+IMPORTRANGE(""https://docs.google.com/spreadsheets/d/1"&amp;"b6QssHQp2FoAPSMKHOy273KNzAomaIKhtdlvuZ_zDNE/edit?usp=share_link"",""พัทลุง!L250"")+IMPORTRANGE(""https://docs.google.com/spreadsheets/d/1o7UZe4_OqlqtLDHrj01Z2YFRSZDf1DMy1n3XViHaxRc/edit?usp=share_link"",""ภูเก็ต!L250"")+IMPORTRANGE(""https://docs.google.c"&amp;"om/spreadsheets/d/1ctPm1vUzcUCPuOj9-eoHUD85PqINFqUB0TjdSWmR5-c/edit?usp=share_link"",""ยะลา!L250"")+IMPORTRANGE(""https://docs.google.com/spreadsheets/d/1YiDIE7Klmt8osgdapRqYWNr7iPGFSsiJqq46S7PYRE0/edit?usp=share_link"",""ระนอง!L250"")+IMPORTRANGE(""https"&amp;"://docs.google.com/spreadsheets/d/16o_4B-V7AWw_6E93bSpXj_XxVv1oVQctk-B6z1dNEWU/edit?usp=share_link"",""สงขลา!L250"")+IMPORTRANGE(""https://docs.google.com/spreadsheets/d/16cywr71Fj4fA5OGRHsZh30ZG2gwJhMAQv69oVBzYHv0/edit?usp=share_link"",""สตูล!L250"")+IMP"&amp;"ORTRANGE(""https://docs.google.com/spreadsheets/d/1vO9Sws6kMtrVtyvrAJptINXjK8TFBoX9xLYOVK_C8bQ/edit?usp=share_link"",""สุราษฎร์ธานี!L250"")"),0)</f>
        <v>0</v>
      </c>
      <c r="M250" s="45"/>
      <c r="N250" s="358">
        <f ca="1">IFERROR(__xludf.DUMMYFUNCTION("IMPORTRANGE(""https://docs.google.com/spreadsheets/d/1kC41EOXpGBFOW658Fs3oD8beYlym0-zO54WY-2Qnp9I/edit?usp=share_link"",""กระบี่!N250"")
+IMPORTRANGE(""https://docs.google.com/spreadsheets/d/1FbzMZY_f3MDiEuK7RpCQKrilJ_kpX0Wm7QBZ1L7EjIU/edit?usp=share_link"&amp;""",""ชุมพร!N250"")+IMPORTRANGE(""https://docs.google.com/spreadsheets/d/1v5sN-00LrXuhBxw4dkh2GrG_z4l5oAqOdJRBCsUyMaM/edit?usp=share_link"",""ตรัง!N250"")+IMPORTRANGE(""https://docs.google.com/spreadsheets/d/1T5rRTzFc79aSIvqnzkZNvwPstq829QYz_xALlO1Z0s8/edi"&amp;"t?usp=share_link"",""นครศรีธรรมราช!N250"")+IMPORTRANGE(""https://docs.google.com/spreadsheets/d/1BeghqumK0IvCmRd2QOy6_afsZq7ZtAGrSnVJy2u7WmY/edit?usp=share_link"",""นราธิวาส!N250"")+IMPORTRANGE(""https://docs.google.com/spreadsheets/d/1IwnW3-jjRf74MCLW-6P"&amp;"iFwMUffRQXZwZA7YM609NmRc/edit?usp=share_link"",""ปัตตานี!N250"")+IMPORTRANGE(""https://docs.google.com/spreadsheets/d/1vl4QWbWdFruual5o_wdo6ZSqXZ_it806oja4CctTLKs/edit?usp=share_link"",""พังงา!N250"")+IMPORTRANGE(""https://docs.google.com/spreadsheets/d/1"&amp;"b6QssHQp2FoAPSMKHOy273KNzAomaIKhtdlvuZ_zDNE/edit?usp=share_link"",""พัทลุง!N250"")+IMPORTRANGE(""https://docs.google.com/spreadsheets/d/1o7UZe4_OqlqtLDHrj01Z2YFRSZDf1DMy1n3XViHaxRc/edit?usp=share_link"",""ภูเก็ต!N250"")+IMPORTRANGE(""https://docs.google.c"&amp;"om/spreadsheets/d/1ctPm1vUzcUCPuOj9-eoHUD85PqINFqUB0TjdSWmR5-c/edit?usp=share_link"",""ยะลา!N250"")+IMPORTRANGE(""https://docs.google.com/spreadsheets/d/1YiDIE7Klmt8osgdapRqYWNr7iPGFSsiJqq46S7PYRE0/edit?usp=share_link"",""ระนอง!N250"")+IMPORTRANGE(""https"&amp;"://docs.google.com/spreadsheets/d/16o_4B-V7AWw_6E93bSpXj_XxVv1oVQctk-B6z1dNEWU/edit?usp=share_link"",""สงขลา!N250"")+IMPORTRANGE(""https://docs.google.com/spreadsheets/d/16cywr71Fj4fA5OGRHsZh30ZG2gwJhMAQv69oVBzYHv0/edit?usp=share_link"",""สตูล!N250"")+IMP"&amp;"ORTRANGE(""https://docs.google.com/spreadsheets/d/1vO9Sws6kMtrVtyvrAJptINXjK8TFBoX9xLYOVK_C8bQ/edit?usp=share_link"",""สุราษฎร์ธานี!N250"")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IFERROR(__xludf.DUMMYFUNCTION("IMPORTRANGE(""https://docs.google.com/spreadsheets/d/1kC41EOXpGBFOW658Fs3oD8beYlym0-zO54WY-2Qnp9I/edit?usp=share_link"",""กระบี่!L251"")
+IMPORTRANGE(""https://docs.google.com/spreadsheets/d/1FbzMZY_f3MDiEuK7RpCQKrilJ_kpX0Wm7QBZ1L7EjIU/edit?usp=share_link"&amp;""",""ชุมพร!L251"")+IMPORTRANGE(""https://docs.google.com/spreadsheets/d/1v5sN-00LrXuhBxw4dkh2GrG_z4l5oAqOdJRBCsUyMaM/edit?usp=share_link"",""ตรัง!L251"")+IMPORTRANGE(""https://docs.google.com/spreadsheets/d/1T5rRTzFc79aSIvqnzkZNvwPstq829QYz_xALlO1Z0s8/edi"&amp;"t?usp=share_link"",""นครศรีธรรมราช!L251"")+IMPORTRANGE(""https://docs.google.com/spreadsheets/d/1BeghqumK0IvCmRd2QOy6_afsZq7ZtAGrSnVJy2u7WmY/edit?usp=share_link"",""นราธิวาส!L251"")+IMPORTRANGE(""https://docs.google.com/spreadsheets/d/1IwnW3-jjRf74MCLW-6P"&amp;"iFwMUffRQXZwZA7YM609NmRc/edit?usp=share_link"",""ปัตตานี!L251"")+IMPORTRANGE(""https://docs.google.com/spreadsheets/d/1vl4QWbWdFruual5o_wdo6ZSqXZ_it806oja4CctTLKs/edit?usp=share_link"",""พังงา!L251"")+IMPORTRANGE(""https://docs.google.com/spreadsheets/d/1"&amp;"b6QssHQp2FoAPSMKHOy273KNzAomaIKhtdlvuZ_zDNE/edit?usp=share_link"",""พัทลุง!L251"")+IMPORTRANGE(""https://docs.google.com/spreadsheets/d/1o7UZe4_OqlqtLDHrj01Z2YFRSZDf1DMy1n3XViHaxRc/edit?usp=share_link"",""ภูเก็ต!L251"")+IMPORTRANGE(""https://docs.google.c"&amp;"om/spreadsheets/d/1ctPm1vUzcUCPuOj9-eoHUD85PqINFqUB0TjdSWmR5-c/edit?usp=share_link"",""ยะลา!L251"")+IMPORTRANGE(""https://docs.google.com/spreadsheets/d/1YiDIE7Klmt8osgdapRqYWNr7iPGFSsiJqq46S7PYRE0/edit?usp=share_link"",""ระนอง!L251"")+IMPORTRANGE(""https"&amp;"://docs.google.com/spreadsheets/d/16o_4B-V7AWw_6E93bSpXj_XxVv1oVQctk-B6z1dNEWU/edit?usp=share_link"",""สงขลา!L251"")+IMPORTRANGE(""https://docs.google.com/spreadsheets/d/16cywr71Fj4fA5OGRHsZh30ZG2gwJhMAQv69oVBzYHv0/edit?usp=share_link"",""สตูล!L251"")+IMP"&amp;"ORTRANGE(""https://docs.google.com/spreadsheets/d/1vO9Sws6kMtrVtyvrAJptINXjK8TFBoX9xLYOVK_C8bQ/edit?usp=share_link"",""สุราษฎร์ธานี!L251"")"),0)</f>
        <v>0</v>
      </c>
      <c r="M251" s="45"/>
      <c r="N251" s="358">
        <f ca="1">IFERROR(__xludf.DUMMYFUNCTION("IMPORTRANGE(""https://docs.google.com/spreadsheets/d/1kC41EOXpGBFOW658Fs3oD8beYlym0-zO54WY-2Qnp9I/edit?usp=share_link"",""กระบี่!N251"")
+IMPORTRANGE(""https://docs.google.com/spreadsheets/d/1FbzMZY_f3MDiEuK7RpCQKrilJ_kpX0Wm7QBZ1L7EjIU/edit?usp=share_link"&amp;""",""ชุมพร!N251"")+IMPORTRANGE(""https://docs.google.com/spreadsheets/d/1v5sN-00LrXuhBxw4dkh2GrG_z4l5oAqOdJRBCsUyMaM/edit?usp=share_link"",""ตรัง!N251"")+IMPORTRANGE(""https://docs.google.com/spreadsheets/d/1T5rRTzFc79aSIvqnzkZNvwPstq829QYz_xALlO1Z0s8/edi"&amp;"t?usp=share_link"",""นครศรีธรรมราช!N251"")+IMPORTRANGE(""https://docs.google.com/spreadsheets/d/1BeghqumK0IvCmRd2QOy6_afsZq7ZtAGrSnVJy2u7WmY/edit?usp=share_link"",""นราธิวาส!N251"")+IMPORTRANGE(""https://docs.google.com/spreadsheets/d/1IwnW3-jjRf74MCLW-6P"&amp;"iFwMUffRQXZwZA7YM609NmRc/edit?usp=share_link"",""ปัตตานี!N251"")+IMPORTRANGE(""https://docs.google.com/spreadsheets/d/1vl4QWbWdFruual5o_wdo6ZSqXZ_it806oja4CctTLKs/edit?usp=share_link"",""พังงา!N251"")+IMPORTRANGE(""https://docs.google.com/spreadsheets/d/1"&amp;"b6QssHQp2FoAPSMKHOy273KNzAomaIKhtdlvuZ_zDNE/edit?usp=share_link"",""พัทลุง!N251"")+IMPORTRANGE(""https://docs.google.com/spreadsheets/d/1o7UZe4_OqlqtLDHrj01Z2YFRSZDf1DMy1n3XViHaxRc/edit?usp=share_link"",""ภูเก็ต!N251"")+IMPORTRANGE(""https://docs.google.c"&amp;"om/spreadsheets/d/1ctPm1vUzcUCPuOj9-eoHUD85PqINFqUB0TjdSWmR5-c/edit?usp=share_link"",""ยะลา!N251"")+IMPORTRANGE(""https://docs.google.com/spreadsheets/d/1YiDIE7Klmt8osgdapRqYWNr7iPGFSsiJqq46S7PYRE0/edit?usp=share_link"",""ระนอง!N251"")+IMPORTRANGE(""https"&amp;"://docs.google.com/spreadsheets/d/16o_4B-V7AWw_6E93bSpXj_XxVv1oVQctk-B6z1dNEWU/edit?usp=share_link"",""สงขลา!N251"")+IMPORTRANGE(""https://docs.google.com/spreadsheets/d/16cywr71Fj4fA5OGRHsZh30ZG2gwJhMAQv69oVBzYHv0/edit?usp=share_link"",""สตูล!N251"")+IMP"&amp;"ORTRANGE(""https://docs.google.com/spreadsheets/d/1vO9Sws6kMtrVtyvrAJptINXjK8TFBoX9xLYOVK_C8bQ/edit?usp=share_link"",""สุราษฎร์ธานี!N251"")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IFERROR(__xludf.DUMMYFUNCTION("IMPORTRANGE(""https://docs.google.com/spreadsheets/d/1kC41EOXpGBFOW658Fs3oD8beYlym0-zO54WY-2Qnp9I/edit?usp=share_link"",""กระบี่!L252"")
+IMPORTRANGE(""https://docs.google.com/spreadsheets/d/1FbzMZY_f3MDiEuK7RpCQKrilJ_kpX0Wm7QBZ1L7EjIU/edit?usp=share_link"&amp;""",""ชุมพร!L252"")+IMPORTRANGE(""https://docs.google.com/spreadsheets/d/1v5sN-00LrXuhBxw4dkh2GrG_z4l5oAqOdJRBCsUyMaM/edit?usp=share_link"",""ตรัง!L252"")+IMPORTRANGE(""https://docs.google.com/spreadsheets/d/1T5rRTzFc79aSIvqnzkZNvwPstq829QYz_xALlO1Z0s8/edi"&amp;"t?usp=share_link"",""นครศรีธรรมราช!L252"")+IMPORTRANGE(""https://docs.google.com/spreadsheets/d/1BeghqumK0IvCmRd2QOy6_afsZq7ZtAGrSnVJy2u7WmY/edit?usp=share_link"",""นราธิวาส!L252"")+IMPORTRANGE(""https://docs.google.com/spreadsheets/d/1IwnW3-jjRf74MCLW-6P"&amp;"iFwMUffRQXZwZA7YM609NmRc/edit?usp=share_link"",""ปัตตานี!L252"")+IMPORTRANGE(""https://docs.google.com/spreadsheets/d/1vl4QWbWdFruual5o_wdo6ZSqXZ_it806oja4CctTLKs/edit?usp=share_link"",""พังงา!L252"")+IMPORTRANGE(""https://docs.google.com/spreadsheets/d/1"&amp;"b6QssHQp2FoAPSMKHOy273KNzAomaIKhtdlvuZ_zDNE/edit?usp=share_link"",""พัทลุง!L252"")+IMPORTRANGE(""https://docs.google.com/spreadsheets/d/1o7UZe4_OqlqtLDHrj01Z2YFRSZDf1DMy1n3XViHaxRc/edit?usp=share_link"",""ภูเก็ต!L252"")+IMPORTRANGE(""https://docs.google.c"&amp;"om/spreadsheets/d/1ctPm1vUzcUCPuOj9-eoHUD85PqINFqUB0TjdSWmR5-c/edit?usp=share_link"",""ยะลา!L252"")+IMPORTRANGE(""https://docs.google.com/spreadsheets/d/1YiDIE7Klmt8osgdapRqYWNr7iPGFSsiJqq46S7PYRE0/edit?usp=share_link"",""ระนอง!L252"")+IMPORTRANGE(""https"&amp;"://docs.google.com/spreadsheets/d/16o_4B-V7AWw_6E93bSpXj_XxVv1oVQctk-B6z1dNEWU/edit?usp=share_link"",""สงขลา!L252"")+IMPORTRANGE(""https://docs.google.com/spreadsheets/d/16cywr71Fj4fA5OGRHsZh30ZG2gwJhMAQv69oVBzYHv0/edit?usp=share_link"",""สตูล!L252"")+IMP"&amp;"ORTRANGE(""https://docs.google.com/spreadsheets/d/1vO9Sws6kMtrVtyvrAJptINXjK8TFBoX9xLYOVK_C8bQ/edit?usp=share_link"",""สุราษฎร์ธานี!L252"")"),0)</f>
        <v>0</v>
      </c>
      <c r="M252" s="45"/>
      <c r="N252" s="358">
        <f ca="1">IFERROR(__xludf.DUMMYFUNCTION("IMPORTRANGE(""https://docs.google.com/spreadsheets/d/1kC41EOXpGBFOW658Fs3oD8beYlym0-zO54WY-2Qnp9I/edit?usp=share_link"",""กระบี่!N252"")
+IMPORTRANGE(""https://docs.google.com/spreadsheets/d/1FbzMZY_f3MDiEuK7RpCQKrilJ_kpX0Wm7QBZ1L7EjIU/edit?usp=share_link"&amp;""",""ชุมพร!N252"")+IMPORTRANGE(""https://docs.google.com/spreadsheets/d/1v5sN-00LrXuhBxw4dkh2GrG_z4l5oAqOdJRBCsUyMaM/edit?usp=share_link"",""ตรัง!N252"")+IMPORTRANGE(""https://docs.google.com/spreadsheets/d/1T5rRTzFc79aSIvqnzkZNvwPstq829QYz_xALlO1Z0s8/edi"&amp;"t?usp=share_link"",""นครศรีธรรมราช!N252"")+IMPORTRANGE(""https://docs.google.com/spreadsheets/d/1BeghqumK0IvCmRd2QOy6_afsZq7ZtAGrSnVJy2u7WmY/edit?usp=share_link"",""นราธิวาส!N252"")+IMPORTRANGE(""https://docs.google.com/spreadsheets/d/1IwnW3-jjRf74MCLW-6P"&amp;"iFwMUffRQXZwZA7YM609NmRc/edit?usp=share_link"",""ปัตตานี!N252"")+IMPORTRANGE(""https://docs.google.com/spreadsheets/d/1vl4QWbWdFruual5o_wdo6ZSqXZ_it806oja4CctTLKs/edit?usp=share_link"",""พังงา!N252"")+IMPORTRANGE(""https://docs.google.com/spreadsheets/d/1"&amp;"b6QssHQp2FoAPSMKHOy273KNzAomaIKhtdlvuZ_zDNE/edit?usp=share_link"",""พัทลุง!N252"")+IMPORTRANGE(""https://docs.google.com/spreadsheets/d/1o7UZe4_OqlqtLDHrj01Z2YFRSZDf1DMy1n3XViHaxRc/edit?usp=share_link"",""ภูเก็ต!N252"")+IMPORTRANGE(""https://docs.google.c"&amp;"om/spreadsheets/d/1ctPm1vUzcUCPuOj9-eoHUD85PqINFqUB0TjdSWmR5-c/edit?usp=share_link"",""ยะลา!N252"")+IMPORTRANGE(""https://docs.google.com/spreadsheets/d/1YiDIE7Klmt8osgdapRqYWNr7iPGFSsiJqq46S7PYRE0/edit?usp=share_link"",""ระนอง!N252"")+IMPORTRANGE(""https"&amp;"://docs.google.com/spreadsheets/d/16o_4B-V7AWw_6E93bSpXj_XxVv1oVQctk-B6z1dNEWU/edit?usp=share_link"",""สงขลา!N252"")+IMPORTRANGE(""https://docs.google.com/spreadsheets/d/16cywr71Fj4fA5OGRHsZh30ZG2gwJhMAQv69oVBzYHv0/edit?usp=share_link"",""สตูล!N252"")+IMP"&amp;"ORTRANGE(""https://docs.google.com/spreadsheets/d/1vO9Sws6kMtrVtyvrAJptINXjK8TFBoX9xLYOVK_C8bQ/edit?usp=share_link"",""สุราษฎร์ธานี!N252"")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IFERROR(__xludf.DUMMYFUNCTION("IMPORTRANGE(""https://docs.google.com/spreadsheets/d/1kC41EOXpGBFOW658Fs3oD8beYlym0-zO54WY-2Qnp9I/edit?usp=share_link"",""กระบี่!L253"")
+IMPORTRANGE(""https://docs.google.com/spreadsheets/d/1FbzMZY_f3MDiEuK7RpCQKrilJ_kpX0Wm7QBZ1L7EjIU/edit?usp=share_link"&amp;""",""ชุมพร!L253"")+IMPORTRANGE(""https://docs.google.com/spreadsheets/d/1v5sN-00LrXuhBxw4dkh2GrG_z4l5oAqOdJRBCsUyMaM/edit?usp=share_link"",""ตรัง!L253"")+IMPORTRANGE(""https://docs.google.com/spreadsheets/d/1T5rRTzFc79aSIvqnzkZNvwPstq829QYz_xALlO1Z0s8/edi"&amp;"t?usp=share_link"",""นครศรีธรรมราช!L253"")+IMPORTRANGE(""https://docs.google.com/spreadsheets/d/1BeghqumK0IvCmRd2QOy6_afsZq7ZtAGrSnVJy2u7WmY/edit?usp=share_link"",""นราธิวาส!L253"")+IMPORTRANGE(""https://docs.google.com/spreadsheets/d/1IwnW3-jjRf74MCLW-6P"&amp;"iFwMUffRQXZwZA7YM609NmRc/edit?usp=share_link"",""ปัตตานี!L253"")+IMPORTRANGE(""https://docs.google.com/spreadsheets/d/1vl4QWbWdFruual5o_wdo6ZSqXZ_it806oja4CctTLKs/edit?usp=share_link"",""พังงา!L253"")+IMPORTRANGE(""https://docs.google.com/spreadsheets/d/1"&amp;"b6QssHQp2FoAPSMKHOy273KNzAomaIKhtdlvuZ_zDNE/edit?usp=share_link"",""พัทลุง!L253"")+IMPORTRANGE(""https://docs.google.com/spreadsheets/d/1o7UZe4_OqlqtLDHrj01Z2YFRSZDf1DMy1n3XViHaxRc/edit?usp=share_link"",""ภูเก็ต!L253"")+IMPORTRANGE(""https://docs.google.c"&amp;"om/spreadsheets/d/1ctPm1vUzcUCPuOj9-eoHUD85PqINFqUB0TjdSWmR5-c/edit?usp=share_link"",""ยะลา!L253"")+IMPORTRANGE(""https://docs.google.com/spreadsheets/d/1YiDIE7Klmt8osgdapRqYWNr7iPGFSsiJqq46S7PYRE0/edit?usp=share_link"",""ระนอง!L253"")+IMPORTRANGE(""https"&amp;"://docs.google.com/spreadsheets/d/16o_4B-V7AWw_6E93bSpXj_XxVv1oVQctk-B6z1dNEWU/edit?usp=share_link"",""สงขลา!L253"")+IMPORTRANGE(""https://docs.google.com/spreadsheets/d/16cywr71Fj4fA5OGRHsZh30ZG2gwJhMAQv69oVBzYHv0/edit?usp=share_link"",""สตูล!L253"")+IMP"&amp;"ORTRANGE(""https://docs.google.com/spreadsheets/d/1vO9Sws6kMtrVtyvrAJptINXjK8TFBoX9xLYOVK_C8bQ/edit?usp=share_link"",""สุราษฎร์ธานี!L253"")"),0)</f>
        <v>0</v>
      </c>
      <c r="M253" s="45"/>
      <c r="N253" s="358">
        <f ca="1">IFERROR(__xludf.DUMMYFUNCTION("IMPORTRANGE(""https://docs.google.com/spreadsheets/d/1kC41EOXpGBFOW658Fs3oD8beYlym0-zO54WY-2Qnp9I/edit?usp=share_link"",""กระบี่!N253"")
+IMPORTRANGE(""https://docs.google.com/spreadsheets/d/1FbzMZY_f3MDiEuK7RpCQKrilJ_kpX0Wm7QBZ1L7EjIU/edit?usp=share_link"&amp;""",""ชุมพร!N253"")+IMPORTRANGE(""https://docs.google.com/spreadsheets/d/1v5sN-00LrXuhBxw4dkh2GrG_z4l5oAqOdJRBCsUyMaM/edit?usp=share_link"",""ตรัง!N253"")+IMPORTRANGE(""https://docs.google.com/spreadsheets/d/1T5rRTzFc79aSIvqnzkZNvwPstq829QYz_xALlO1Z0s8/edi"&amp;"t?usp=share_link"",""นครศรีธรรมราช!N253"")+IMPORTRANGE(""https://docs.google.com/spreadsheets/d/1BeghqumK0IvCmRd2QOy6_afsZq7ZtAGrSnVJy2u7WmY/edit?usp=share_link"",""นราธิวาส!N253"")+IMPORTRANGE(""https://docs.google.com/spreadsheets/d/1IwnW3-jjRf74MCLW-6P"&amp;"iFwMUffRQXZwZA7YM609NmRc/edit?usp=share_link"",""ปัตตานี!N253"")+IMPORTRANGE(""https://docs.google.com/spreadsheets/d/1vl4QWbWdFruual5o_wdo6ZSqXZ_it806oja4CctTLKs/edit?usp=share_link"",""พังงา!N253"")+IMPORTRANGE(""https://docs.google.com/spreadsheets/d/1"&amp;"b6QssHQp2FoAPSMKHOy273KNzAomaIKhtdlvuZ_zDNE/edit?usp=share_link"",""พัทลุง!N253"")+IMPORTRANGE(""https://docs.google.com/spreadsheets/d/1o7UZe4_OqlqtLDHrj01Z2YFRSZDf1DMy1n3XViHaxRc/edit?usp=share_link"",""ภูเก็ต!N253"")+IMPORTRANGE(""https://docs.google.c"&amp;"om/spreadsheets/d/1ctPm1vUzcUCPuOj9-eoHUD85PqINFqUB0TjdSWmR5-c/edit?usp=share_link"",""ยะลา!N253"")+IMPORTRANGE(""https://docs.google.com/spreadsheets/d/1YiDIE7Klmt8osgdapRqYWNr7iPGFSsiJqq46S7PYRE0/edit?usp=share_link"",""ระนอง!N253"")+IMPORTRANGE(""https"&amp;"://docs.google.com/spreadsheets/d/16o_4B-V7AWw_6E93bSpXj_XxVv1oVQctk-B6z1dNEWU/edit?usp=share_link"",""สงขลา!N253"")+IMPORTRANGE(""https://docs.google.com/spreadsheets/d/16cywr71Fj4fA5OGRHsZh30ZG2gwJhMAQv69oVBzYHv0/edit?usp=share_link"",""สตูล!N253"")+IMP"&amp;"ORTRANGE(""https://docs.google.com/spreadsheets/d/1vO9Sws6kMtrVtyvrAJptINXjK8TFBoX9xLYOVK_C8bQ/edit?usp=share_link"",""สุราษฎร์ธานี!N253"")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IFERROR(__xludf.DUMMYFUNCTION("IMPORTRANGE(""https://docs.google.com/spreadsheets/d/1kC41EOXpGBFOW658Fs3oD8beYlym0-zO54WY-2Qnp9I/edit?usp=share_link"",""กระบี่!I255"")
+IMPORTRANGE(""https://docs.google.com/spreadsheets/d/1FbzMZY_f3MDiEuK7RpCQKrilJ_kpX0Wm7QBZ1L7EjIU/edit?usp=share_link"&amp;""",""ชุมพร!I255"")+IMPORTRANGE(""https://docs.google.com/spreadsheets/d/1v5sN-00LrXuhBxw4dkh2GrG_z4l5oAqOdJRBCsUyMaM/edit?usp=share_link"",""ตรัง!I255"")+IMPORTRANGE(""https://docs.google.com/spreadsheets/d/1T5rRTzFc79aSIvqnzkZNvwPstq829QYz_xALlO1Z0s8/edi"&amp;"t?usp=share_link"",""นครศรีธรรมราช!I255"")+IMPORTRANGE(""https://docs.google.com/spreadsheets/d/1BeghqumK0IvCmRd2QOy6_afsZq7ZtAGrSnVJy2u7WmY/edit?usp=share_link"",""นราธิวาส!I255"")+IMPORTRANGE(""https://docs.google.com/spreadsheets/d/1IwnW3-jjRf74MCLW-6P"&amp;"iFwMUffRQXZwZA7YM609NmRc/edit?usp=share_link"",""ปัตตานี!I255"")+IMPORTRANGE(""https://docs.google.com/spreadsheets/d/1vl4QWbWdFruual5o_wdo6ZSqXZ_it806oja4CctTLKs/edit?usp=share_link"",""พังงา!I255"")+IMPORTRANGE(""https://docs.google.com/spreadsheets/d/1"&amp;"b6QssHQp2FoAPSMKHOy273KNzAomaIKhtdlvuZ_zDNE/edit?usp=share_link"",""พัทลุง!I255"")+IMPORTRANGE(""https://docs.google.com/spreadsheets/d/1o7UZe4_OqlqtLDHrj01Z2YFRSZDf1DMy1n3XViHaxRc/edit?usp=share_link"",""ภูเก็ต!I255"")+IMPORTRANGE(""https://docs.google.c"&amp;"om/spreadsheets/d/1ctPm1vUzcUCPuOj9-eoHUD85PqINFqUB0TjdSWmR5-c/edit?usp=share_link"",""ยะลา!I255"")+IMPORTRANGE(""https://docs.google.com/spreadsheets/d/1YiDIE7Klmt8osgdapRqYWNr7iPGFSsiJqq46S7PYRE0/edit?usp=share_link"",""ระนอง!I255"")+IMPORTRANGE(""https"&amp;"://docs.google.com/spreadsheets/d/16o_4B-V7AWw_6E93bSpXj_XxVv1oVQctk-B6z1dNEWU/edit?usp=share_link"",""สงขลา!I255"")+IMPORTRANGE(""https://docs.google.com/spreadsheets/d/16cywr71Fj4fA5OGRHsZh30ZG2gwJhMAQv69oVBzYHv0/edit?usp=share_link"",""สตูล!I255"")+IMP"&amp;"ORTRANGE(""https://docs.google.com/spreadsheets/d/1vO9Sws6kMtrVtyvrAJptINXjK8TFBoX9xLYOVK_C8bQ/edit?usp=share_link"",""สุราษฎร์ธานี!I255"")"),0)</f>
        <v>0</v>
      </c>
      <c r="J255" s="371">
        <f ca="1">IFERROR(__xludf.DUMMYFUNCTION("IMPORTRANGE(""https://docs.google.com/spreadsheets/d/1kC41EOXpGBFOW658Fs3oD8beYlym0-zO54WY-2Qnp9I/edit?usp=share_link"",""กระบี่!J255"")
+IMPORTRANGE(""https://docs.google.com/spreadsheets/d/1FbzMZY_f3MDiEuK7RpCQKrilJ_kpX0Wm7QBZ1L7EjIU/edit?usp=share_link"&amp;""",""ชุมพร!J255"")+IMPORTRANGE(""https://docs.google.com/spreadsheets/d/1v5sN-00LrXuhBxw4dkh2GrG_z4l5oAqOdJRBCsUyMaM/edit?usp=share_link"",""ตรัง!J255"")+IMPORTRANGE(""https://docs.google.com/spreadsheets/d/1T5rRTzFc79aSIvqnzkZNvwPstq829QYz_xALlO1Z0s8/edi"&amp;"t?usp=share_link"",""นครศรีธรรมราช!J255"")+IMPORTRANGE(""https://docs.google.com/spreadsheets/d/1BeghqumK0IvCmRd2QOy6_afsZq7ZtAGrSnVJy2u7WmY/edit?usp=share_link"",""นราธิวาส!J255"")+IMPORTRANGE(""https://docs.google.com/spreadsheets/d/1IwnW3-jjRf74MCLW-6P"&amp;"iFwMUffRQXZwZA7YM609NmRc/edit?usp=share_link"",""ปัตตานี!J255"")+IMPORTRANGE(""https://docs.google.com/spreadsheets/d/1vl4QWbWdFruual5o_wdo6ZSqXZ_it806oja4CctTLKs/edit?usp=share_link"",""พังงา!J255"")+IMPORTRANGE(""https://docs.google.com/spreadsheets/d/1"&amp;"b6QssHQp2FoAPSMKHOy273KNzAomaIKhtdlvuZ_zDNE/edit?usp=share_link"",""พัทลุง!J255"")+IMPORTRANGE(""https://docs.google.com/spreadsheets/d/1o7UZe4_OqlqtLDHrj01Z2YFRSZDf1DMy1n3XViHaxRc/edit?usp=share_link"",""ภูเก็ต!J255"")+IMPORTRANGE(""https://docs.google.c"&amp;"om/spreadsheets/d/1ctPm1vUzcUCPuOj9-eoHUD85PqINFqUB0TjdSWmR5-c/edit?usp=share_link"",""ยะลา!J255"")+IMPORTRANGE(""https://docs.google.com/spreadsheets/d/1YiDIE7Klmt8osgdapRqYWNr7iPGFSsiJqq46S7PYRE0/edit?usp=share_link"",""ระนอง!J255"")+IMPORTRANGE(""https"&amp;"://docs.google.com/spreadsheets/d/16o_4B-V7AWw_6E93bSpXj_XxVv1oVQctk-B6z1dNEWU/edit?usp=share_link"",""สงขลา!J255"")+IMPORTRANGE(""https://docs.google.com/spreadsheets/d/16cywr71Fj4fA5OGRHsZh30ZG2gwJhMAQv69oVBzYHv0/edit?usp=share_link"",""สตูล!J255"")+IMP"&amp;"ORTRANGE(""https://docs.google.com/spreadsheets/d/1vO9Sws6kMtrVtyvrAJptINXjK8TFBoX9xLYOVK_C8bQ/edit?usp=share_link"",""สุราษฎร์ธานี!J255"")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IFERROR(__xludf.DUMMYFUNCTION("IMPORTRANGE(""https://docs.google.com/spreadsheets/d/1kC41EOXpGBFOW658Fs3oD8beYlym0-zO54WY-2Qnp9I/edit?usp=share_link"",""กระบี่!I257"")
+IMPORTRANGE(""https://docs.google.com/spreadsheets/d/1FbzMZY_f3MDiEuK7RpCQKrilJ_kpX0Wm7QBZ1L7EjIU/edit?usp=share_link"&amp;""",""ชุมพร!I257"")+IMPORTRANGE(""https://docs.google.com/spreadsheets/d/1v5sN-00LrXuhBxw4dkh2GrG_z4l5oAqOdJRBCsUyMaM/edit?usp=share_link"",""ตรัง!I257"")+IMPORTRANGE(""https://docs.google.com/spreadsheets/d/1T5rRTzFc79aSIvqnzkZNvwPstq829QYz_xALlO1Z0s8/edi"&amp;"t?usp=share_link"",""นครศรีธรรมราช!I257"")+IMPORTRANGE(""https://docs.google.com/spreadsheets/d/1BeghqumK0IvCmRd2QOy6_afsZq7ZtAGrSnVJy2u7WmY/edit?usp=share_link"",""นราธิวาส!I257"")+IMPORTRANGE(""https://docs.google.com/spreadsheets/d/1IwnW3-jjRf74MCLW-6P"&amp;"iFwMUffRQXZwZA7YM609NmRc/edit?usp=share_link"",""ปัตตานี!I257"")+IMPORTRANGE(""https://docs.google.com/spreadsheets/d/1vl4QWbWdFruual5o_wdo6ZSqXZ_it806oja4CctTLKs/edit?usp=share_link"",""พังงา!I257"")+IMPORTRANGE(""https://docs.google.com/spreadsheets/d/1"&amp;"b6QssHQp2FoAPSMKHOy273KNzAomaIKhtdlvuZ_zDNE/edit?usp=share_link"",""พัทลุง!I257"")+IMPORTRANGE(""https://docs.google.com/spreadsheets/d/1o7UZe4_OqlqtLDHrj01Z2YFRSZDf1DMy1n3XViHaxRc/edit?usp=share_link"",""ภูเก็ต!I257"")+IMPORTRANGE(""https://docs.google.c"&amp;"om/spreadsheets/d/1ctPm1vUzcUCPuOj9-eoHUD85PqINFqUB0TjdSWmR5-c/edit?usp=share_link"",""ยะลา!I257"")+IMPORTRANGE(""https://docs.google.com/spreadsheets/d/1YiDIE7Klmt8osgdapRqYWNr7iPGFSsiJqq46S7PYRE0/edit?usp=share_link"",""ระนอง!I257"")+IMPORTRANGE(""https"&amp;"://docs.google.com/spreadsheets/d/16o_4B-V7AWw_6E93bSpXj_XxVv1oVQctk-B6z1dNEWU/edit?usp=share_link"",""สงขลา!I257"")+IMPORTRANGE(""https://docs.google.com/spreadsheets/d/16cywr71Fj4fA5OGRHsZh30ZG2gwJhMAQv69oVBzYHv0/edit?usp=share_link"",""สตูล!I257"")+IMP"&amp;"ORTRANGE(""https://docs.google.com/spreadsheets/d/1vO9Sws6kMtrVtyvrAJptINXjK8TFBoX9xLYOVK_C8bQ/edit?usp=share_link"",""สุราษฎร์ธานี!I257"")"),0)</f>
        <v>0</v>
      </c>
      <c r="J257" s="371">
        <f ca="1">IFERROR(__xludf.DUMMYFUNCTION("IMPORTRANGE(""https://docs.google.com/spreadsheets/d/1kC41EOXpGBFOW658Fs3oD8beYlym0-zO54WY-2Qnp9I/edit?usp=share_link"",""กระบี่!J257"")
+IMPORTRANGE(""https://docs.google.com/spreadsheets/d/1FbzMZY_f3MDiEuK7RpCQKrilJ_kpX0Wm7QBZ1L7EjIU/edit?usp=share_link"&amp;""",""ชุมพร!J257"")+IMPORTRANGE(""https://docs.google.com/spreadsheets/d/1v5sN-00LrXuhBxw4dkh2GrG_z4l5oAqOdJRBCsUyMaM/edit?usp=share_link"",""ตรัง!J257"")+IMPORTRANGE(""https://docs.google.com/spreadsheets/d/1T5rRTzFc79aSIvqnzkZNvwPstq829QYz_xALlO1Z0s8/edi"&amp;"t?usp=share_link"",""นครศรีธรรมราช!J257"")+IMPORTRANGE(""https://docs.google.com/spreadsheets/d/1BeghqumK0IvCmRd2QOy6_afsZq7ZtAGrSnVJy2u7WmY/edit?usp=share_link"",""นราธิวาส!J257"")+IMPORTRANGE(""https://docs.google.com/spreadsheets/d/1IwnW3-jjRf74MCLW-6P"&amp;"iFwMUffRQXZwZA7YM609NmRc/edit?usp=share_link"",""ปัตตานี!J257"")+IMPORTRANGE(""https://docs.google.com/spreadsheets/d/1vl4QWbWdFruual5o_wdo6ZSqXZ_it806oja4CctTLKs/edit?usp=share_link"",""พังงา!J257"")+IMPORTRANGE(""https://docs.google.com/spreadsheets/d/1"&amp;"b6QssHQp2FoAPSMKHOy273KNzAomaIKhtdlvuZ_zDNE/edit?usp=share_link"",""พัทลุง!J257"")+IMPORTRANGE(""https://docs.google.com/spreadsheets/d/1o7UZe4_OqlqtLDHrj01Z2YFRSZDf1DMy1n3XViHaxRc/edit?usp=share_link"",""ภูเก็ต!J257"")+IMPORTRANGE(""https://docs.google.c"&amp;"om/spreadsheets/d/1ctPm1vUzcUCPuOj9-eoHUD85PqINFqUB0TjdSWmR5-c/edit?usp=share_link"",""ยะลา!J257"")+IMPORTRANGE(""https://docs.google.com/spreadsheets/d/1YiDIE7Klmt8osgdapRqYWNr7iPGFSsiJqq46S7PYRE0/edit?usp=share_link"",""ระนอง!J257"")+IMPORTRANGE(""https"&amp;"://docs.google.com/spreadsheets/d/16o_4B-V7AWw_6E93bSpXj_XxVv1oVQctk-B6z1dNEWU/edit?usp=share_link"",""สงขลา!J257"")+IMPORTRANGE(""https://docs.google.com/spreadsheets/d/16cywr71Fj4fA5OGRHsZh30ZG2gwJhMAQv69oVBzYHv0/edit?usp=share_link"",""สตูล!J257"")+IMP"&amp;"ORTRANGE(""https://docs.google.com/spreadsheets/d/1vO9Sws6kMtrVtyvrAJptINXjK8TFBoX9xLYOVK_C8bQ/edit?usp=share_link"",""สุราษฎร์ธานี!J257"")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IFERROR(__xludf.DUMMYFUNCTION("IMPORTRANGE(""https://docs.google.com/spreadsheets/d/1kC41EOXpGBFOW658Fs3oD8beYlym0-zO54WY-2Qnp9I/edit?usp=share_link"",""กระบี่!I258"")
+IMPORTRANGE(""https://docs.google.com/spreadsheets/d/1FbzMZY_f3MDiEuK7RpCQKrilJ_kpX0Wm7QBZ1L7EjIU/edit?usp=share_link"&amp;""",""ชุมพร!I258"")+IMPORTRANGE(""https://docs.google.com/spreadsheets/d/1v5sN-00LrXuhBxw4dkh2GrG_z4l5oAqOdJRBCsUyMaM/edit?usp=share_link"",""ตรัง!I258"")+IMPORTRANGE(""https://docs.google.com/spreadsheets/d/1T5rRTzFc79aSIvqnzkZNvwPstq829QYz_xALlO1Z0s8/edi"&amp;"t?usp=share_link"",""นครศรีธรรมราช!I258"")+IMPORTRANGE(""https://docs.google.com/spreadsheets/d/1BeghqumK0IvCmRd2QOy6_afsZq7ZtAGrSnVJy2u7WmY/edit?usp=share_link"",""นราธิวาส!I258"")+IMPORTRANGE(""https://docs.google.com/spreadsheets/d/1IwnW3-jjRf74MCLW-6P"&amp;"iFwMUffRQXZwZA7YM609NmRc/edit?usp=share_link"",""ปัตตานี!I258"")+IMPORTRANGE(""https://docs.google.com/spreadsheets/d/1vl4QWbWdFruual5o_wdo6ZSqXZ_it806oja4CctTLKs/edit?usp=share_link"",""พังงา!I258"")+IMPORTRANGE(""https://docs.google.com/spreadsheets/d/1"&amp;"b6QssHQp2FoAPSMKHOy273KNzAomaIKhtdlvuZ_zDNE/edit?usp=share_link"",""พัทลุง!I258"")+IMPORTRANGE(""https://docs.google.com/spreadsheets/d/1o7UZe4_OqlqtLDHrj01Z2YFRSZDf1DMy1n3XViHaxRc/edit?usp=share_link"",""ภูเก็ต!I258"")+IMPORTRANGE(""https://docs.google.c"&amp;"om/spreadsheets/d/1ctPm1vUzcUCPuOj9-eoHUD85PqINFqUB0TjdSWmR5-c/edit?usp=share_link"",""ยะลา!I258"")+IMPORTRANGE(""https://docs.google.com/spreadsheets/d/1YiDIE7Klmt8osgdapRqYWNr7iPGFSsiJqq46S7PYRE0/edit?usp=share_link"",""ระนอง!I258"")+IMPORTRANGE(""https"&amp;"://docs.google.com/spreadsheets/d/16o_4B-V7AWw_6E93bSpXj_XxVv1oVQctk-B6z1dNEWU/edit?usp=share_link"",""สงขลา!I258"")+IMPORTRANGE(""https://docs.google.com/spreadsheets/d/16cywr71Fj4fA5OGRHsZh30ZG2gwJhMAQv69oVBzYHv0/edit?usp=share_link"",""สตูล!I258"")+IMP"&amp;"ORTRANGE(""https://docs.google.com/spreadsheets/d/1vO9Sws6kMtrVtyvrAJptINXjK8TFBoX9xLYOVK_C8bQ/edit?usp=share_link"",""สุราษฎร์ธานี!I258"")"),0)</f>
        <v>0</v>
      </c>
      <c r="J258" s="371">
        <f ca="1">IFERROR(__xludf.DUMMYFUNCTION("IMPORTRANGE(""https://docs.google.com/spreadsheets/d/1kC41EOXpGBFOW658Fs3oD8beYlym0-zO54WY-2Qnp9I/edit?usp=share_link"",""กระบี่!J258"")
+IMPORTRANGE(""https://docs.google.com/spreadsheets/d/1FbzMZY_f3MDiEuK7RpCQKrilJ_kpX0Wm7QBZ1L7EjIU/edit?usp=share_link"&amp;""",""ชุมพร!J258"")+IMPORTRANGE(""https://docs.google.com/spreadsheets/d/1v5sN-00LrXuhBxw4dkh2GrG_z4l5oAqOdJRBCsUyMaM/edit?usp=share_link"",""ตรัง!J258"")+IMPORTRANGE(""https://docs.google.com/spreadsheets/d/1T5rRTzFc79aSIvqnzkZNvwPstq829QYz_xALlO1Z0s8/edi"&amp;"t?usp=share_link"",""นครศรีธรรมราช!J258"")+IMPORTRANGE(""https://docs.google.com/spreadsheets/d/1BeghqumK0IvCmRd2QOy6_afsZq7ZtAGrSnVJy2u7WmY/edit?usp=share_link"",""นราธิวาส!J258"")+IMPORTRANGE(""https://docs.google.com/spreadsheets/d/1IwnW3-jjRf74MCLW-6P"&amp;"iFwMUffRQXZwZA7YM609NmRc/edit?usp=share_link"",""ปัตตานี!J258"")+IMPORTRANGE(""https://docs.google.com/spreadsheets/d/1vl4QWbWdFruual5o_wdo6ZSqXZ_it806oja4CctTLKs/edit?usp=share_link"",""พังงา!J258"")+IMPORTRANGE(""https://docs.google.com/spreadsheets/d/1"&amp;"b6QssHQp2FoAPSMKHOy273KNzAomaIKhtdlvuZ_zDNE/edit?usp=share_link"",""พัทลุง!J258"")+IMPORTRANGE(""https://docs.google.com/spreadsheets/d/1o7UZe4_OqlqtLDHrj01Z2YFRSZDf1DMy1n3XViHaxRc/edit?usp=share_link"",""ภูเก็ต!J258"")+IMPORTRANGE(""https://docs.google.c"&amp;"om/spreadsheets/d/1ctPm1vUzcUCPuOj9-eoHUD85PqINFqUB0TjdSWmR5-c/edit?usp=share_link"",""ยะลา!J258"")+IMPORTRANGE(""https://docs.google.com/spreadsheets/d/1YiDIE7Klmt8osgdapRqYWNr7iPGFSsiJqq46S7PYRE0/edit?usp=share_link"",""ระนอง!J258"")+IMPORTRANGE(""https"&amp;"://docs.google.com/spreadsheets/d/16o_4B-V7AWw_6E93bSpXj_XxVv1oVQctk-B6z1dNEWU/edit?usp=share_link"",""สงขลา!J258"")+IMPORTRANGE(""https://docs.google.com/spreadsheets/d/16cywr71Fj4fA5OGRHsZh30ZG2gwJhMAQv69oVBzYHv0/edit?usp=share_link"",""สตูล!J258"")+IMP"&amp;"ORTRANGE(""https://docs.google.com/spreadsheets/d/1vO9Sws6kMtrVtyvrAJptINXjK8TFBoX9xLYOVK_C8bQ/edit?usp=share_link"",""สุราษฎร์ธานี!J258"")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286</v>
      </c>
      <c r="J260" s="253">
        <f t="shared" ca="1" si="136"/>
        <v>62</v>
      </c>
      <c r="K260" s="254">
        <f ca="1">IF(I260&gt;0,J260*100/I260,0)</f>
        <v>21.678321678321677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641700</v>
      </c>
      <c r="M261" s="155">
        <f t="shared" ca="1" si="137"/>
        <v>641700</v>
      </c>
      <c r="N261" s="155">
        <f t="shared" ca="1" si="137"/>
        <v>273682.44</v>
      </c>
      <c r="O261" s="155">
        <f t="shared" ref="O261:O269" ca="1" si="138">IF(L261&gt;0,N261*100/L261,0)</f>
        <v>42.649593267882189</v>
      </c>
      <c r="P261" s="155">
        <f t="shared" ref="P261:P269" ca="1" si="139">IF(M261&gt;0,N261*100/M261,0)</f>
        <v>42.649593267882189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641700</v>
      </c>
      <c r="M263" s="45">
        <f t="shared" ca="1" si="141"/>
        <v>641700</v>
      </c>
      <c r="N263" s="45">
        <f t="shared" ca="1" si="141"/>
        <v>273682.44</v>
      </c>
      <c r="O263" s="45">
        <f t="shared" ca="1" si="138"/>
        <v>42.649593267882189</v>
      </c>
      <c r="P263" s="45">
        <f t="shared" ca="1" si="139"/>
        <v>42.649593267882189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641700</v>
      </c>
      <c r="M264" s="38">
        <f t="shared" ca="1" si="142"/>
        <v>641700</v>
      </c>
      <c r="N264" s="38">
        <f t="shared" ca="1" si="142"/>
        <v>273682.44</v>
      </c>
      <c r="O264" s="38">
        <f t="shared" ca="1" si="138"/>
        <v>42.649593267882189</v>
      </c>
      <c r="P264" s="38">
        <f t="shared" ca="1" si="139"/>
        <v>42.649593267882189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IFERROR(__xludf.DUMMYFUNCTION("IMPORTRANGE(""https://docs.google.com/spreadsheets/d/1kC41EOXpGBFOW658Fs3oD8beYlym0-zO54WY-2Qnp9I/edit?usp=share_link"",""กระบี่!L266"")
+IMPORTRANGE(""https://docs.google.com/spreadsheets/d/1FbzMZY_f3MDiEuK7RpCQKrilJ_kpX0Wm7QBZ1L7EjIU/edit?usp=share_link"&amp;""",""ชุมพร!L266"")+IMPORTRANGE(""https://docs.google.com/spreadsheets/d/1v5sN-00LrXuhBxw4dkh2GrG_z4l5oAqOdJRBCsUyMaM/edit?usp=share_link"",""ตรัง!L266"")+IMPORTRANGE(""https://docs.google.com/spreadsheets/d/1T5rRTzFc79aSIvqnzkZNvwPstq829QYz_xALlO1Z0s8/edi"&amp;"t?usp=share_link"",""นครศรีธรรมราช!L266"")+IMPORTRANGE(""https://docs.google.com/spreadsheets/d/1BeghqumK0IvCmRd2QOy6_afsZq7ZtAGrSnVJy2u7WmY/edit?usp=share_link"",""นราธิวาส!L266"")+IMPORTRANGE(""https://docs.google.com/spreadsheets/d/1IwnW3-jjRf74MCLW-6P"&amp;"iFwMUffRQXZwZA7YM609NmRc/edit?usp=share_link"",""ปัตตานี!L266"")+IMPORTRANGE(""https://docs.google.com/spreadsheets/d/1vl4QWbWdFruual5o_wdo6ZSqXZ_it806oja4CctTLKs/edit?usp=share_link"",""พังงา!L266"")+IMPORTRANGE(""https://docs.google.com/spreadsheets/d/1"&amp;"b6QssHQp2FoAPSMKHOy273KNzAomaIKhtdlvuZ_zDNE/edit?usp=share_link"",""พัทลุง!L266"")+IMPORTRANGE(""https://docs.google.com/spreadsheets/d/1o7UZe4_OqlqtLDHrj01Z2YFRSZDf1DMy1n3XViHaxRc/edit?usp=share_link"",""ภูเก็ต!L266"")+IMPORTRANGE(""https://docs.google.c"&amp;"om/spreadsheets/d/1ctPm1vUzcUCPuOj9-eoHUD85PqINFqUB0TjdSWmR5-c/edit?usp=share_link"",""ยะลา!L266"")+IMPORTRANGE(""https://docs.google.com/spreadsheets/d/1YiDIE7Klmt8osgdapRqYWNr7iPGFSsiJqq46S7PYRE0/edit?usp=share_link"",""ระนอง!L266"")+IMPORTRANGE(""https"&amp;"://docs.google.com/spreadsheets/d/16o_4B-V7AWw_6E93bSpXj_XxVv1oVQctk-B6z1dNEWU/edit?usp=share_link"",""สงขลา!L266"")+IMPORTRANGE(""https://docs.google.com/spreadsheets/d/16cywr71Fj4fA5OGRHsZh30ZG2gwJhMAQv69oVBzYHv0/edit?usp=share_link"",""สตูล!L266"")+IMP"&amp;"ORTRANGE(""https://docs.google.com/spreadsheets/d/1vO9Sws6kMtrVtyvrAJptINXjK8TFBoX9xLYOVK_C8bQ/edit?usp=share_link"",""สุราษฎร์ธานี!L266"")"),641700)</f>
        <v>641700</v>
      </c>
      <c r="M266" s="45">
        <f ca="1">IFERROR(__xludf.DUMMYFUNCTION("IMPORTRANGE(""https://docs.google.com/spreadsheets/d/1kC41EOXpGBFOW658Fs3oD8beYlym0-zO54WY-2Qnp9I/edit?usp=share_link"",""กระบี่!M266"")
+IMPORTRANGE(""https://docs.google.com/spreadsheets/d/1FbzMZY_f3MDiEuK7RpCQKrilJ_kpX0Wm7QBZ1L7EjIU/edit?usp=share_link"&amp;""",""ชุมพร!M266"")+IMPORTRANGE(""https://docs.google.com/spreadsheets/d/1v5sN-00LrXuhBxw4dkh2GrG_z4l5oAqOdJRBCsUyMaM/edit?usp=share_link"",""ตรัง!M266"")+IMPORTRANGE(""https://docs.google.com/spreadsheets/d/1T5rRTzFc79aSIvqnzkZNvwPstq829QYz_xALlO1Z0s8/edi"&amp;"t?usp=share_link"",""นครศรีธรรมราช!M266"")+IMPORTRANGE(""https://docs.google.com/spreadsheets/d/1BeghqumK0IvCmRd2QOy6_afsZq7ZtAGrSnVJy2u7WmY/edit?usp=share_link"",""นราธิวาส!M266"")+IMPORTRANGE(""https://docs.google.com/spreadsheets/d/1IwnW3-jjRf74MCLW-6P"&amp;"iFwMUffRQXZwZA7YM609NmRc/edit?usp=share_link"",""ปัตตานี!M266"")+IMPORTRANGE(""https://docs.google.com/spreadsheets/d/1vl4QWbWdFruual5o_wdo6ZSqXZ_it806oja4CctTLKs/edit?usp=share_link"",""พังงา!M266"")+IMPORTRANGE(""https://docs.google.com/spreadsheets/d/1"&amp;"b6QssHQp2FoAPSMKHOy273KNzAomaIKhtdlvuZ_zDNE/edit?usp=share_link"",""พัทลุง!M266"")+IMPORTRANGE(""https://docs.google.com/spreadsheets/d/1o7UZe4_OqlqtLDHrj01Z2YFRSZDf1DMy1n3XViHaxRc/edit?usp=share_link"",""ภูเก็ต!M266"")+IMPORTRANGE(""https://docs.google.c"&amp;"om/spreadsheets/d/1ctPm1vUzcUCPuOj9-eoHUD85PqINFqUB0TjdSWmR5-c/edit?usp=share_link"",""ยะลา!M266"")+IMPORTRANGE(""https://docs.google.com/spreadsheets/d/1YiDIE7Klmt8osgdapRqYWNr7iPGFSsiJqq46S7PYRE0/edit?usp=share_link"",""ระนอง!M266"")+IMPORTRANGE(""https"&amp;"://docs.google.com/spreadsheets/d/16o_4B-V7AWw_6E93bSpXj_XxVv1oVQctk-B6z1dNEWU/edit?usp=share_link"",""สงขลา!M266"")+IMPORTRANGE(""https://docs.google.com/spreadsheets/d/16cywr71Fj4fA5OGRHsZh30ZG2gwJhMAQv69oVBzYHv0/edit?usp=share_link"",""สตูล!M266"")+IMP"&amp;"ORTRANGE(""https://docs.google.com/spreadsheets/d/1vO9Sws6kMtrVtyvrAJptINXjK8TFBoX9xLYOVK_C8bQ/edit?usp=share_link"",""สุราษฎร์ธานี!M266"")"),641700)</f>
        <v>641700</v>
      </c>
      <c r="N266" s="45">
        <f ca="1">IFERROR(__xludf.DUMMYFUNCTION("IMPORTRANGE(""https://docs.google.com/spreadsheets/d/1kC41EOXpGBFOW658Fs3oD8beYlym0-zO54WY-2Qnp9I/edit?usp=share_link"",""กระบี่!N266"")
+IMPORTRANGE(""https://docs.google.com/spreadsheets/d/1FbzMZY_f3MDiEuK7RpCQKrilJ_kpX0Wm7QBZ1L7EjIU/edit?usp=share_link"&amp;""",""ชุมพร!N266"")+IMPORTRANGE(""https://docs.google.com/spreadsheets/d/1v5sN-00LrXuhBxw4dkh2GrG_z4l5oAqOdJRBCsUyMaM/edit?usp=share_link"",""ตรัง!N266"")+IMPORTRANGE(""https://docs.google.com/spreadsheets/d/1T5rRTzFc79aSIvqnzkZNvwPstq829QYz_xALlO1Z0s8/edi"&amp;"t?usp=share_link"",""นครศรีธรรมราช!N266"")+IMPORTRANGE(""https://docs.google.com/spreadsheets/d/1BeghqumK0IvCmRd2QOy6_afsZq7ZtAGrSnVJy2u7WmY/edit?usp=share_link"",""นราธิวาส!N266"")+IMPORTRANGE(""https://docs.google.com/spreadsheets/d/1IwnW3-jjRf74MCLW-6P"&amp;"iFwMUffRQXZwZA7YM609NmRc/edit?usp=share_link"",""ปัตตานี!N266"")+IMPORTRANGE(""https://docs.google.com/spreadsheets/d/1vl4QWbWdFruual5o_wdo6ZSqXZ_it806oja4CctTLKs/edit?usp=share_link"",""พังงา!N266"")+IMPORTRANGE(""https://docs.google.com/spreadsheets/d/1"&amp;"b6QssHQp2FoAPSMKHOy273KNzAomaIKhtdlvuZ_zDNE/edit?usp=share_link"",""พัทลุง!N266"")+IMPORTRANGE(""https://docs.google.com/spreadsheets/d/1o7UZe4_OqlqtLDHrj01Z2YFRSZDf1DMy1n3XViHaxRc/edit?usp=share_link"",""ภูเก็ต!N266"")+IMPORTRANGE(""https://docs.google.c"&amp;"om/spreadsheets/d/1ctPm1vUzcUCPuOj9-eoHUD85PqINFqUB0TjdSWmR5-c/edit?usp=share_link"",""ยะลา!N266"")+IMPORTRANGE(""https://docs.google.com/spreadsheets/d/1YiDIE7Klmt8osgdapRqYWNr7iPGFSsiJqq46S7PYRE0/edit?usp=share_link"",""ระนอง!N266"")+IMPORTRANGE(""https"&amp;"://docs.google.com/spreadsheets/d/16o_4B-V7AWw_6E93bSpXj_XxVv1oVQctk-B6z1dNEWU/edit?usp=share_link"",""สงขลา!N266"")+IMPORTRANGE(""https://docs.google.com/spreadsheets/d/16cywr71Fj4fA5OGRHsZh30ZG2gwJhMAQv69oVBzYHv0/edit?usp=share_link"",""สตูล!N266"")+IMP"&amp;"ORTRANGE(""https://docs.google.com/spreadsheets/d/1vO9Sws6kMtrVtyvrAJptINXjK8TFBoX9xLYOVK_C8bQ/edit?usp=share_link"",""สุราษฎร์ธานี!N266"")"),273682.44)</f>
        <v>273682.44</v>
      </c>
      <c r="O266" s="45">
        <f t="shared" ca="1" si="138"/>
        <v>42.649593267882189</v>
      </c>
      <c r="P266" s="45">
        <f t="shared" ca="1" si="139"/>
        <v>42.649593267882189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IFERROR(__xludf.DUMMYFUNCTION("IMPORTRANGE(""https://docs.google.com/spreadsheets/d/1kC41EOXpGBFOW658Fs3oD8beYlym0-zO54WY-2Qnp9I/edit?usp=share_link"",""กระบี่!L269"")
+IMPORTRANGE(""https://docs.google.com/spreadsheets/d/1FbzMZY_f3MDiEuK7RpCQKrilJ_kpX0Wm7QBZ1L7EjIU/edit?usp=share_link"&amp;""",""ชุมพร!L269"")+IMPORTRANGE(""https://docs.google.com/spreadsheets/d/1v5sN-00LrXuhBxw4dkh2GrG_z4l5oAqOdJRBCsUyMaM/edit?usp=share_link"",""ตรัง!L269"")+IMPORTRANGE(""https://docs.google.com/spreadsheets/d/1T5rRTzFc79aSIvqnzkZNvwPstq829QYz_xALlO1Z0s8/edi"&amp;"t?usp=share_link"",""นครศรีธรรมราช!L269"")+IMPORTRANGE(""https://docs.google.com/spreadsheets/d/1BeghqumK0IvCmRd2QOy6_afsZq7ZtAGrSnVJy2u7WmY/edit?usp=share_link"",""นราธิวาส!L269"")+IMPORTRANGE(""https://docs.google.com/spreadsheets/d/1IwnW3-jjRf74MCLW-6P"&amp;"iFwMUffRQXZwZA7YM609NmRc/edit?usp=share_link"",""ปัตตานี!L269"")+IMPORTRANGE(""https://docs.google.com/spreadsheets/d/1vl4QWbWdFruual5o_wdo6ZSqXZ_it806oja4CctTLKs/edit?usp=share_link"",""พังงา!L269"")+IMPORTRANGE(""https://docs.google.com/spreadsheets/d/1"&amp;"b6QssHQp2FoAPSMKHOy273KNzAomaIKhtdlvuZ_zDNE/edit?usp=share_link"",""พัทลุง!L269"")+IMPORTRANGE(""https://docs.google.com/spreadsheets/d/1o7UZe4_OqlqtLDHrj01Z2YFRSZDf1DMy1n3XViHaxRc/edit?usp=share_link"",""ภูเก็ต!L269"")+IMPORTRANGE(""https://docs.google.c"&amp;"om/spreadsheets/d/1ctPm1vUzcUCPuOj9-eoHUD85PqINFqUB0TjdSWmR5-c/edit?usp=share_link"",""ยะลา!L269"")+IMPORTRANGE(""https://docs.google.com/spreadsheets/d/1YiDIE7Klmt8osgdapRqYWNr7iPGFSsiJqq46S7PYRE0/edit?usp=share_link"",""ระนอง!L269"")+IMPORTRANGE(""https"&amp;"://docs.google.com/spreadsheets/d/16o_4B-V7AWw_6E93bSpXj_XxVv1oVQctk-B6z1dNEWU/edit?usp=share_link"",""สงขลา!L269"")+IMPORTRANGE(""https://docs.google.com/spreadsheets/d/16cywr71Fj4fA5OGRHsZh30ZG2gwJhMAQv69oVBzYHv0/edit?usp=share_link"",""สตูล!L269"")+IMP"&amp;"ORTRANGE(""https://docs.google.com/spreadsheets/d/1vO9Sws6kMtrVtyvrAJptINXjK8TFBoX9xLYOVK_C8bQ/edit?usp=share_link"",""สุราษฎร์ธานี!L269"")"),0)</f>
        <v>0</v>
      </c>
      <c r="M269" s="45">
        <f ca="1">IFERROR(__xludf.DUMMYFUNCTION("IMPORTRANGE(""https://docs.google.com/spreadsheets/d/1kC41EOXpGBFOW658Fs3oD8beYlym0-zO54WY-2Qnp9I/edit?usp=share_link"",""กระบี่!M269"")
+IMPORTRANGE(""https://docs.google.com/spreadsheets/d/1FbzMZY_f3MDiEuK7RpCQKrilJ_kpX0Wm7QBZ1L7EjIU/edit?usp=share_link"&amp;""",""ชุมพร!M269"")+IMPORTRANGE(""https://docs.google.com/spreadsheets/d/1v5sN-00LrXuhBxw4dkh2GrG_z4l5oAqOdJRBCsUyMaM/edit?usp=share_link"",""ตรัง!M269"")+IMPORTRANGE(""https://docs.google.com/spreadsheets/d/1T5rRTzFc79aSIvqnzkZNvwPstq829QYz_xALlO1Z0s8/edi"&amp;"t?usp=share_link"",""นครศรีธรรมราช!M269"")+IMPORTRANGE(""https://docs.google.com/spreadsheets/d/1BeghqumK0IvCmRd2QOy6_afsZq7ZtAGrSnVJy2u7WmY/edit?usp=share_link"",""นราธิวาส!M269"")+IMPORTRANGE(""https://docs.google.com/spreadsheets/d/1IwnW3-jjRf74MCLW-6P"&amp;"iFwMUffRQXZwZA7YM609NmRc/edit?usp=share_link"",""ปัตตานี!M269"")+IMPORTRANGE(""https://docs.google.com/spreadsheets/d/1vl4QWbWdFruual5o_wdo6ZSqXZ_it806oja4CctTLKs/edit?usp=share_link"",""พังงา!M269"")+IMPORTRANGE(""https://docs.google.com/spreadsheets/d/1"&amp;"b6QssHQp2FoAPSMKHOy273KNzAomaIKhtdlvuZ_zDNE/edit?usp=share_link"",""พัทลุง!M269"")+IMPORTRANGE(""https://docs.google.com/spreadsheets/d/1o7UZe4_OqlqtLDHrj01Z2YFRSZDf1DMy1n3XViHaxRc/edit?usp=share_link"",""ภูเก็ต!M269"")+IMPORTRANGE(""https://docs.google.c"&amp;"om/spreadsheets/d/1ctPm1vUzcUCPuOj9-eoHUD85PqINFqUB0TjdSWmR5-c/edit?usp=share_link"",""ยะลา!M269"")+IMPORTRANGE(""https://docs.google.com/spreadsheets/d/1YiDIE7Klmt8osgdapRqYWNr7iPGFSsiJqq46S7PYRE0/edit?usp=share_link"",""ระนอง!M269"")+IMPORTRANGE(""https"&amp;"://docs.google.com/spreadsheets/d/16o_4B-V7AWw_6E93bSpXj_XxVv1oVQctk-B6z1dNEWU/edit?usp=share_link"",""สงขลา!M269"")+IMPORTRANGE(""https://docs.google.com/spreadsheets/d/16cywr71Fj4fA5OGRHsZh30ZG2gwJhMAQv69oVBzYHv0/edit?usp=share_link"",""สตูล!M269"")+IMP"&amp;"ORTRANGE(""https://docs.google.com/spreadsheets/d/1vO9Sws6kMtrVtyvrAJptINXjK8TFBoX9xLYOVK_C8bQ/edit?usp=share_link"",""สุราษฎร์ธานี!M269"")"),0)</f>
        <v>0</v>
      </c>
      <c r="N269" s="45">
        <f ca="1">IFERROR(__xludf.DUMMYFUNCTION("IMPORTRANGE(""https://docs.google.com/spreadsheets/d/1kC41EOXpGBFOW658Fs3oD8beYlym0-zO54WY-2Qnp9I/edit?usp=share_link"",""กระบี่!N269"")
+IMPORTRANGE(""https://docs.google.com/spreadsheets/d/1FbzMZY_f3MDiEuK7RpCQKrilJ_kpX0Wm7QBZ1L7EjIU/edit?usp=share_link"&amp;""",""ชุมพร!N269"")+IMPORTRANGE(""https://docs.google.com/spreadsheets/d/1v5sN-00LrXuhBxw4dkh2GrG_z4l5oAqOdJRBCsUyMaM/edit?usp=share_link"",""ตรัง!N269"")+IMPORTRANGE(""https://docs.google.com/spreadsheets/d/1T5rRTzFc79aSIvqnzkZNvwPstq829QYz_xALlO1Z0s8/edi"&amp;"t?usp=share_link"",""นครศรีธรรมราช!N269"")+IMPORTRANGE(""https://docs.google.com/spreadsheets/d/1BeghqumK0IvCmRd2QOy6_afsZq7ZtAGrSnVJy2u7WmY/edit?usp=share_link"",""นราธิวาส!N269"")+IMPORTRANGE(""https://docs.google.com/spreadsheets/d/1IwnW3-jjRf74MCLW-6P"&amp;"iFwMUffRQXZwZA7YM609NmRc/edit?usp=share_link"",""ปัตตานี!N269"")+IMPORTRANGE(""https://docs.google.com/spreadsheets/d/1vl4QWbWdFruual5o_wdo6ZSqXZ_it806oja4CctTLKs/edit?usp=share_link"",""พังงา!N269"")+IMPORTRANGE(""https://docs.google.com/spreadsheets/d/1"&amp;"b6QssHQp2FoAPSMKHOy273KNzAomaIKhtdlvuZ_zDNE/edit?usp=share_link"",""พัทลุง!N269"")+IMPORTRANGE(""https://docs.google.com/spreadsheets/d/1o7UZe4_OqlqtLDHrj01Z2YFRSZDf1DMy1n3XViHaxRc/edit?usp=share_link"",""ภูเก็ต!N269"")+IMPORTRANGE(""https://docs.google.c"&amp;"om/spreadsheets/d/1ctPm1vUzcUCPuOj9-eoHUD85PqINFqUB0TjdSWmR5-c/edit?usp=share_link"",""ยะลา!N269"")+IMPORTRANGE(""https://docs.google.com/spreadsheets/d/1YiDIE7Klmt8osgdapRqYWNr7iPGFSsiJqq46S7PYRE0/edit?usp=share_link"",""ระนอง!N269"")+IMPORTRANGE(""https"&amp;"://docs.google.com/spreadsheets/d/16o_4B-V7AWw_6E93bSpXj_XxVv1oVQctk-B6z1dNEWU/edit?usp=share_link"",""สงขลา!N269"")+IMPORTRANGE(""https://docs.google.com/spreadsheets/d/16cywr71Fj4fA5OGRHsZh30ZG2gwJhMAQv69oVBzYHv0/edit?usp=share_link"",""สตูล!N269"")+IMP"&amp;"ORTRANGE(""https://docs.google.com/spreadsheets/d/1vO9Sws6kMtrVtyvrAJptINXjK8TFBoX9xLYOVK_C8bQ/edit?usp=share_link"",""สุราษฎร์ธานี!N269"")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IFERROR(__xludf.DUMMYFUNCTION("IMPORTRANGE(""https://docs.google.com/spreadsheets/d/1kC41EOXpGBFOW658Fs3oD8beYlym0-zO54WY-2Qnp9I/edit?usp=share_link"",""กระบี่!I271"")
+IMPORTRANGE(""https://docs.google.com/spreadsheets/d/1FbzMZY_f3MDiEuK7RpCQKrilJ_kpX0Wm7QBZ1L7EjIU/edit?usp=share_link"&amp;""",""ชุมพร!I271"")+IMPORTRANGE(""https://docs.google.com/spreadsheets/d/1v5sN-00LrXuhBxw4dkh2GrG_z4l5oAqOdJRBCsUyMaM/edit?usp=share_link"",""ตรัง!I271"")+IMPORTRANGE(""https://docs.google.com/spreadsheets/d/1T5rRTzFc79aSIvqnzkZNvwPstq829QYz_xALlO1Z0s8/edi"&amp;"t?usp=share_link"",""นครศรีธรรมราช!I271"")+IMPORTRANGE(""https://docs.google.com/spreadsheets/d/1BeghqumK0IvCmRd2QOy6_afsZq7ZtAGrSnVJy2u7WmY/edit?usp=share_link"",""นราธิวาส!I271"")+IMPORTRANGE(""https://docs.google.com/spreadsheets/d/1IwnW3-jjRf74MCLW-6P"&amp;"iFwMUffRQXZwZA7YM609NmRc/edit?usp=share_link"",""ปัตตานี!I271"")+IMPORTRANGE(""https://docs.google.com/spreadsheets/d/1vl4QWbWdFruual5o_wdo6ZSqXZ_it806oja4CctTLKs/edit?usp=share_link"",""พังงา!I271"")+IMPORTRANGE(""https://docs.google.com/spreadsheets/d/1"&amp;"b6QssHQp2FoAPSMKHOy273KNzAomaIKhtdlvuZ_zDNE/edit?usp=share_link"",""พัทลุง!I271"")+IMPORTRANGE(""https://docs.google.com/spreadsheets/d/1o7UZe4_OqlqtLDHrj01Z2YFRSZDf1DMy1n3XViHaxRc/edit?usp=share_link"",""ภูเก็ต!I271"")+IMPORTRANGE(""https://docs.google.c"&amp;"om/spreadsheets/d/1ctPm1vUzcUCPuOj9-eoHUD85PqINFqUB0TjdSWmR5-c/edit?usp=share_link"",""ยะลา!I271"")+IMPORTRANGE(""https://docs.google.com/spreadsheets/d/1YiDIE7Klmt8osgdapRqYWNr7iPGFSsiJqq46S7PYRE0/edit?usp=share_link"",""ระนอง!I271"")+IMPORTRANGE(""https"&amp;"://docs.google.com/spreadsheets/d/16o_4B-V7AWw_6E93bSpXj_XxVv1oVQctk-B6z1dNEWU/edit?usp=share_link"",""สงขลา!I271"")+IMPORTRANGE(""https://docs.google.com/spreadsheets/d/16cywr71Fj4fA5OGRHsZh30ZG2gwJhMAQv69oVBzYHv0/edit?usp=share_link"",""สตูล!I271"")+IMP"&amp;"ORTRANGE(""https://docs.google.com/spreadsheets/d/1vO9Sws6kMtrVtyvrAJptINXjK8TFBoX9xLYOVK_C8bQ/edit?usp=share_link"",""สุราษฎร์ธานี!I271"")"),286)</f>
        <v>286</v>
      </c>
      <c r="J271" s="183">
        <f ca="1">IFERROR(__xludf.DUMMYFUNCTION("IMPORTRANGE(""https://docs.google.com/spreadsheets/d/1kC41EOXpGBFOW658Fs3oD8beYlym0-zO54WY-2Qnp9I/edit?usp=share_link"",""กระบี่!J271"")
+IMPORTRANGE(""https://docs.google.com/spreadsheets/d/1FbzMZY_f3MDiEuK7RpCQKrilJ_kpX0Wm7QBZ1L7EjIU/edit?usp=share_link"&amp;""",""ชุมพร!J271"")+IMPORTRANGE(""https://docs.google.com/spreadsheets/d/1v5sN-00LrXuhBxw4dkh2GrG_z4l5oAqOdJRBCsUyMaM/edit?usp=share_link"",""ตรัง!J271"")+IMPORTRANGE(""https://docs.google.com/spreadsheets/d/1T5rRTzFc79aSIvqnzkZNvwPstq829QYz_xALlO1Z0s8/edi"&amp;"t?usp=share_link"",""นครศรีธรรมราช!J271"")+IMPORTRANGE(""https://docs.google.com/spreadsheets/d/1BeghqumK0IvCmRd2QOy6_afsZq7ZtAGrSnVJy2u7WmY/edit?usp=share_link"",""นราธิวาส!J271"")+IMPORTRANGE(""https://docs.google.com/spreadsheets/d/1IwnW3-jjRf74MCLW-6P"&amp;"iFwMUffRQXZwZA7YM609NmRc/edit?usp=share_link"",""ปัตตานี!J271"")+IMPORTRANGE(""https://docs.google.com/spreadsheets/d/1vl4QWbWdFruual5o_wdo6ZSqXZ_it806oja4CctTLKs/edit?usp=share_link"",""พังงา!J271"")+IMPORTRANGE(""https://docs.google.com/spreadsheets/d/1"&amp;"b6QssHQp2FoAPSMKHOy273KNzAomaIKhtdlvuZ_zDNE/edit?usp=share_link"",""พัทลุง!J271"")+IMPORTRANGE(""https://docs.google.com/spreadsheets/d/1o7UZe4_OqlqtLDHrj01Z2YFRSZDf1DMy1n3XViHaxRc/edit?usp=share_link"",""ภูเก็ต!J271"")+IMPORTRANGE(""https://docs.google.c"&amp;"om/spreadsheets/d/1ctPm1vUzcUCPuOj9-eoHUD85PqINFqUB0TjdSWmR5-c/edit?usp=share_link"",""ยะลา!J271"")+IMPORTRANGE(""https://docs.google.com/spreadsheets/d/1YiDIE7Klmt8osgdapRqYWNr7iPGFSsiJqq46S7PYRE0/edit?usp=share_link"",""ระนอง!J271"")+IMPORTRANGE(""https"&amp;"://docs.google.com/spreadsheets/d/16o_4B-V7AWw_6E93bSpXj_XxVv1oVQctk-B6z1dNEWU/edit?usp=share_link"",""สงขลา!J271"")+IMPORTRANGE(""https://docs.google.com/spreadsheets/d/16cywr71Fj4fA5OGRHsZh30ZG2gwJhMAQv69oVBzYHv0/edit?usp=share_link"",""สตูล!J271"")+IMP"&amp;"ORTRANGE(""https://docs.google.com/spreadsheets/d/1vO9Sws6kMtrVtyvrAJptINXjK8TFBoX9xLYOVK_C8bQ/edit?usp=share_link"",""สุราษฎร์ธานี!J271"")"),62)</f>
        <v>62</v>
      </c>
      <c r="K271" s="163">
        <f ca="1">IF(I271&gt;0,J271*100/I271,0)</f>
        <v>21.678321678321677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20</v>
      </c>
      <c r="J275" s="406">
        <f t="shared" ca="1" si="144"/>
        <v>20</v>
      </c>
      <c r="K275" s="407">
        <f t="shared" ref="K275:K276" ca="1" si="145">IF(I275&gt;0,J275*100/I275,0)</f>
        <v>100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46">I287</f>
        <v>200</v>
      </c>
      <c r="J276" s="410">
        <f t="shared" ca="1" si="146"/>
        <v>200</v>
      </c>
      <c r="K276" s="408">
        <f t="shared" ca="1" si="145"/>
        <v>100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86270</v>
      </c>
      <c r="M277" s="155">
        <f t="shared" ca="1" si="147"/>
        <v>86270</v>
      </c>
      <c r="N277" s="155">
        <f t="shared" ca="1" si="147"/>
        <v>67655</v>
      </c>
      <c r="O277" s="155">
        <f t="shared" ref="O277:O285" ca="1" si="148">IF(L277&gt;0,N277*100/L277,0)</f>
        <v>78.422394807001268</v>
      </c>
      <c r="P277" s="155">
        <f t="shared" ref="P277:P285" ca="1" si="149">IF(M277&gt;0,N277*100/M277,0)</f>
        <v>78.422394807001268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86270</v>
      </c>
      <c r="M279" s="45">
        <f t="shared" ca="1" si="151"/>
        <v>86270</v>
      </c>
      <c r="N279" s="45">
        <f t="shared" ca="1" si="151"/>
        <v>67655</v>
      </c>
      <c r="O279" s="45">
        <f t="shared" ca="1" si="148"/>
        <v>78.422394807001268</v>
      </c>
      <c r="P279" s="45">
        <f t="shared" ca="1" si="149"/>
        <v>78.422394807001268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86270</v>
      </c>
      <c r="M280" s="38">
        <f t="shared" ca="1" si="152"/>
        <v>86270</v>
      </c>
      <c r="N280" s="38">
        <f t="shared" ca="1" si="152"/>
        <v>67655</v>
      </c>
      <c r="O280" s="38">
        <f t="shared" ca="1" si="148"/>
        <v>78.422394807001268</v>
      </c>
      <c r="P280" s="38">
        <f t="shared" ca="1" si="149"/>
        <v>78.422394807001268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IFERROR(__xludf.DUMMYFUNCTION("IMPORTRANGE(""https://docs.google.com/spreadsheets/d/1kC41EOXpGBFOW658Fs3oD8beYlym0-zO54WY-2Qnp9I/edit?usp=share_link"",""กระบี่!L282"")
+IMPORTRANGE(""https://docs.google.com/spreadsheets/d/1FbzMZY_f3MDiEuK7RpCQKrilJ_kpX0Wm7QBZ1L7EjIU/edit?usp=share_link"&amp;""",""ชุมพร!L282"")+IMPORTRANGE(""https://docs.google.com/spreadsheets/d/1v5sN-00LrXuhBxw4dkh2GrG_z4l5oAqOdJRBCsUyMaM/edit?usp=share_link"",""ตรัง!L282"")+IMPORTRANGE(""https://docs.google.com/spreadsheets/d/1T5rRTzFc79aSIvqnzkZNvwPstq829QYz_xALlO1Z0s8/edi"&amp;"t?usp=share_link"",""นครศรีธรรมราช!L282"")+IMPORTRANGE(""https://docs.google.com/spreadsheets/d/1BeghqumK0IvCmRd2QOy6_afsZq7ZtAGrSnVJy2u7WmY/edit?usp=share_link"",""นราธิวาส!L282"")+IMPORTRANGE(""https://docs.google.com/spreadsheets/d/1IwnW3-jjRf74MCLW-6P"&amp;"iFwMUffRQXZwZA7YM609NmRc/edit?usp=share_link"",""ปัตตานี!L282"")+IMPORTRANGE(""https://docs.google.com/spreadsheets/d/1vl4QWbWdFruual5o_wdo6ZSqXZ_it806oja4CctTLKs/edit?usp=share_link"",""พังงา!L282"")+IMPORTRANGE(""https://docs.google.com/spreadsheets/d/1"&amp;"b6QssHQp2FoAPSMKHOy273KNzAomaIKhtdlvuZ_zDNE/edit?usp=share_link"",""พัทลุง!L282"")+IMPORTRANGE(""https://docs.google.com/spreadsheets/d/1o7UZe4_OqlqtLDHrj01Z2YFRSZDf1DMy1n3XViHaxRc/edit?usp=share_link"",""ภูเก็ต!L282"")+IMPORTRANGE(""https://docs.google.c"&amp;"om/spreadsheets/d/1ctPm1vUzcUCPuOj9-eoHUD85PqINFqUB0TjdSWmR5-c/edit?usp=share_link"",""ยะลา!L282"")+IMPORTRANGE(""https://docs.google.com/spreadsheets/d/1YiDIE7Klmt8osgdapRqYWNr7iPGFSsiJqq46S7PYRE0/edit?usp=share_link"",""ระนอง!L282"")+IMPORTRANGE(""https"&amp;"://docs.google.com/spreadsheets/d/16o_4B-V7AWw_6E93bSpXj_XxVv1oVQctk-B6z1dNEWU/edit?usp=share_link"",""สงขลา!L282"")+IMPORTRANGE(""https://docs.google.com/spreadsheets/d/16cywr71Fj4fA5OGRHsZh30ZG2gwJhMAQv69oVBzYHv0/edit?usp=share_link"",""สตูล!L282"")+IMP"&amp;"ORTRANGE(""https://docs.google.com/spreadsheets/d/1vO9Sws6kMtrVtyvrAJptINXjK8TFBoX9xLYOVK_C8bQ/edit?usp=share_link"",""สุราษฎร์ธานี!L282"")"),86270)</f>
        <v>86270</v>
      </c>
      <c r="M282" s="45">
        <f ca="1">IFERROR(__xludf.DUMMYFUNCTION("IMPORTRANGE(""https://docs.google.com/spreadsheets/d/1kC41EOXpGBFOW658Fs3oD8beYlym0-zO54WY-2Qnp9I/edit?usp=share_link"",""กระบี่!M282"")
+IMPORTRANGE(""https://docs.google.com/spreadsheets/d/1FbzMZY_f3MDiEuK7RpCQKrilJ_kpX0Wm7QBZ1L7EjIU/edit?usp=share_link"&amp;""",""ชุมพร!M282"")+IMPORTRANGE(""https://docs.google.com/spreadsheets/d/1v5sN-00LrXuhBxw4dkh2GrG_z4l5oAqOdJRBCsUyMaM/edit?usp=share_link"",""ตรัง!M282"")+IMPORTRANGE(""https://docs.google.com/spreadsheets/d/1T5rRTzFc79aSIvqnzkZNvwPstq829QYz_xALlO1Z0s8/edi"&amp;"t?usp=share_link"",""นครศรีธรรมราช!M282"")+IMPORTRANGE(""https://docs.google.com/spreadsheets/d/1BeghqumK0IvCmRd2QOy6_afsZq7ZtAGrSnVJy2u7WmY/edit?usp=share_link"",""นราธิวาส!M282"")+IMPORTRANGE(""https://docs.google.com/spreadsheets/d/1IwnW3-jjRf74MCLW-6P"&amp;"iFwMUffRQXZwZA7YM609NmRc/edit?usp=share_link"",""ปัตตานี!M282"")+IMPORTRANGE(""https://docs.google.com/spreadsheets/d/1vl4QWbWdFruual5o_wdo6ZSqXZ_it806oja4CctTLKs/edit?usp=share_link"",""พังงา!M282"")+IMPORTRANGE(""https://docs.google.com/spreadsheets/d/1"&amp;"b6QssHQp2FoAPSMKHOy273KNzAomaIKhtdlvuZ_zDNE/edit?usp=share_link"",""พัทลุง!M282"")+IMPORTRANGE(""https://docs.google.com/spreadsheets/d/1o7UZe4_OqlqtLDHrj01Z2YFRSZDf1DMy1n3XViHaxRc/edit?usp=share_link"",""ภูเก็ต!M282"")+IMPORTRANGE(""https://docs.google.c"&amp;"om/spreadsheets/d/1ctPm1vUzcUCPuOj9-eoHUD85PqINFqUB0TjdSWmR5-c/edit?usp=share_link"",""ยะลา!M282"")+IMPORTRANGE(""https://docs.google.com/spreadsheets/d/1YiDIE7Klmt8osgdapRqYWNr7iPGFSsiJqq46S7PYRE0/edit?usp=share_link"",""ระนอง!M282"")+IMPORTRANGE(""https"&amp;"://docs.google.com/spreadsheets/d/16o_4B-V7AWw_6E93bSpXj_XxVv1oVQctk-B6z1dNEWU/edit?usp=share_link"",""สงขลา!M282"")+IMPORTRANGE(""https://docs.google.com/spreadsheets/d/16cywr71Fj4fA5OGRHsZh30ZG2gwJhMAQv69oVBzYHv0/edit?usp=share_link"",""สตูล!M282"")+IMP"&amp;"ORTRANGE(""https://docs.google.com/spreadsheets/d/1vO9Sws6kMtrVtyvrAJptINXjK8TFBoX9xLYOVK_C8bQ/edit?usp=share_link"",""สุราษฎร์ธานี!M282"")"),86270)</f>
        <v>86270</v>
      </c>
      <c r="N282" s="45">
        <f ca="1">IFERROR(__xludf.DUMMYFUNCTION("IMPORTRANGE(""https://docs.google.com/spreadsheets/d/1kC41EOXpGBFOW658Fs3oD8beYlym0-zO54WY-2Qnp9I/edit?usp=share_link"",""กระบี่!N282"")
+IMPORTRANGE(""https://docs.google.com/spreadsheets/d/1FbzMZY_f3MDiEuK7RpCQKrilJ_kpX0Wm7QBZ1L7EjIU/edit?usp=share_link"&amp;""",""ชุมพร!N282"")+IMPORTRANGE(""https://docs.google.com/spreadsheets/d/1v5sN-00LrXuhBxw4dkh2GrG_z4l5oAqOdJRBCsUyMaM/edit?usp=share_link"",""ตรัง!N282"")+IMPORTRANGE(""https://docs.google.com/spreadsheets/d/1T5rRTzFc79aSIvqnzkZNvwPstq829QYz_xALlO1Z0s8/edi"&amp;"t?usp=share_link"",""นครศรีธรรมราช!N282"")+IMPORTRANGE(""https://docs.google.com/spreadsheets/d/1BeghqumK0IvCmRd2QOy6_afsZq7ZtAGrSnVJy2u7WmY/edit?usp=share_link"",""นราธิวาส!N282"")+IMPORTRANGE(""https://docs.google.com/spreadsheets/d/1IwnW3-jjRf74MCLW-6P"&amp;"iFwMUffRQXZwZA7YM609NmRc/edit?usp=share_link"",""ปัตตานี!N282"")+IMPORTRANGE(""https://docs.google.com/spreadsheets/d/1vl4QWbWdFruual5o_wdo6ZSqXZ_it806oja4CctTLKs/edit?usp=share_link"",""พังงา!N282"")+IMPORTRANGE(""https://docs.google.com/spreadsheets/d/1"&amp;"b6QssHQp2FoAPSMKHOy273KNzAomaIKhtdlvuZ_zDNE/edit?usp=share_link"",""พัทลุง!N282"")+IMPORTRANGE(""https://docs.google.com/spreadsheets/d/1o7UZe4_OqlqtLDHrj01Z2YFRSZDf1DMy1n3XViHaxRc/edit?usp=share_link"",""ภูเก็ต!N282"")+IMPORTRANGE(""https://docs.google.c"&amp;"om/spreadsheets/d/1ctPm1vUzcUCPuOj9-eoHUD85PqINFqUB0TjdSWmR5-c/edit?usp=share_link"",""ยะลา!N282"")+IMPORTRANGE(""https://docs.google.com/spreadsheets/d/1YiDIE7Klmt8osgdapRqYWNr7iPGFSsiJqq46S7PYRE0/edit?usp=share_link"",""ระนอง!N282"")+IMPORTRANGE(""https"&amp;"://docs.google.com/spreadsheets/d/16o_4B-V7AWw_6E93bSpXj_XxVv1oVQctk-B6z1dNEWU/edit?usp=share_link"",""สงขลา!N282"")+IMPORTRANGE(""https://docs.google.com/spreadsheets/d/16cywr71Fj4fA5OGRHsZh30ZG2gwJhMAQv69oVBzYHv0/edit?usp=share_link"",""สตูล!N282"")+IMP"&amp;"ORTRANGE(""https://docs.google.com/spreadsheets/d/1vO9Sws6kMtrVtyvrAJptINXjK8TFBoX9xLYOVK_C8bQ/edit?usp=share_link"",""สุราษฎร์ธานี!N282"")"),67655)</f>
        <v>67655</v>
      </c>
      <c r="O282" s="45">
        <f t="shared" ca="1" si="148"/>
        <v>78.422394807001268</v>
      </c>
      <c r="P282" s="45">
        <f t="shared" ca="1" si="149"/>
        <v>78.422394807001268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IFERROR(__xludf.DUMMYFUNCTION("IMPORTRANGE(""https://docs.google.com/spreadsheets/d/1kC41EOXpGBFOW658Fs3oD8beYlym0-zO54WY-2Qnp9I/edit?usp=share_link"",""กระบี่!L285"")
+IMPORTRANGE(""https://docs.google.com/spreadsheets/d/1FbzMZY_f3MDiEuK7RpCQKrilJ_kpX0Wm7QBZ1L7EjIU/edit?usp=share_link"&amp;""",""ชุมพร!L285"")+IMPORTRANGE(""https://docs.google.com/spreadsheets/d/1v5sN-00LrXuhBxw4dkh2GrG_z4l5oAqOdJRBCsUyMaM/edit?usp=share_link"",""ตรัง!L285"")+IMPORTRANGE(""https://docs.google.com/spreadsheets/d/1T5rRTzFc79aSIvqnzkZNvwPstq829QYz_xALlO1Z0s8/edi"&amp;"t?usp=share_link"",""นครศรีธรรมราช!L285"")+IMPORTRANGE(""https://docs.google.com/spreadsheets/d/1BeghqumK0IvCmRd2QOy6_afsZq7ZtAGrSnVJy2u7WmY/edit?usp=share_link"",""นราธิวาส!L285"")+IMPORTRANGE(""https://docs.google.com/spreadsheets/d/1IwnW3-jjRf74MCLW-6P"&amp;"iFwMUffRQXZwZA7YM609NmRc/edit?usp=share_link"",""ปัตตานี!L285"")+IMPORTRANGE(""https://docs.google.com/spreadsheets/d/1vl4QWbWdFruual5o_wdo6ZSqXZ_it806oja4CctTLKs/edit?usp=share_link"",""พังงา!L285"")+IMPORTRANGE(""https://docs.google.com/spreadsheets/d/1"&amp;"b6QssHQp2FoAPSMKHOy273KNzAomaIKhtdlvuZ_zDNE/edit?usp=share_link"",""พัทลุง!L285"")+IMPORTRANGE(""https://docs.google.com/spreadsheets/d/1o7UZe4_OqlqtLDHrj01Z2YFRSZDf1DMy1n3XViHaxRc/edit?usp=share_link"",""ภูเก็ต!L285"")+IMPORTRANGE(""https://docs.google.c"&amp;"om/spreadsheets/d/1ctPm1vUzcUCPuOj9-eoHUD85PqINFqUB0TjdSWmR5-c/edit?usp=share_link"",""ยะลา!L285"")+IMPORTRANGE(""https://docs.google.com/spreadsheets/d/1YiDIE7Klmt8osgdapRqYWNr7iPGFSsiJqq46S7PYRE0/edit?usp=share_link"",""ระนอง!L285"")+IMPORTRANGE(""https"&amp;"://docs.google.com/spreadsheets/d/16o_4B-V7AWw_6E93bSpXj_XxVv1oVQctk-B6z1dNEWU/edit?usp=share_link"",""สงขลา!L285"")+IMPORTRANGE(""https://docs.google.com/spreadsheets/d/16cywr71Fj4fA5OGRHsZh30ZG2gwJhMAQv69oVBzYHv0/edit?usp=share_link"",""สตูล!L285"")+IMP"&amp;"ORTRANGE(""https://docs.google.com/spreadsheets/d/1vO9Sws6kMtrVtyvrAJptINXjK8TFBoX9xLYOVK_C8bQ/edit?usp=share_link"",""สุราษฎร์ธานี!L285"")"),0)</f>
        <v>0</v>
      </c>
      <c r="M285" s="45">
        <f ca="1">IFERROR(__xludf.DUMMYFUNCTION("IMPORTRANGE(""https://docs.google.com/spreadsheets/d/1kC41EOXpGBFOW658Fs3oD8beYlym0-zO54WY-2Qnp9I/edit?usp=share_link"",""กระบี่!M285"")
+IMPORTRANGE(""https://docs.google.com/spreadsheets/d/1FbzMZY_f3MDiEuK7RpCQKrilJ_kpX0Wm7QBZ1L7EjIU/edit?usp=share_link"&amp;""",""ชุมพร!M285"")+IMPORTRANGE(""https://docs.google.com/spreadsheets/d/1v5sN-00LrXuhBxw4dkh2GrG_z4l5oAqOdJRBCsUyMaM/edit?usp=share_link"",""ตรัง!M285"")+IMPORTRANGE(""https://docs.google.com/spreadsheets/d/1T5rRTzFc79aSIvqnzkZNvwPstq829QYz_xALlO1Z0s8/edi"&amp;"t?usp=share_link"",""นครศรีธรรมราช!M285"")+IMPORTRANGE(""https://docs.google.com/spreadsheets/d/1BeghqumK0IvCmRd2QOy6_afsZq7ZtAGrSnVJy2u7WmY/edit?usp=share_link"",""นราธิวาส!M285"")+IMPORTRANGE(""https://docs.google.com/spreadsheets/d/1IwnW3-jjRf74MCLW-6P"&amp;"iFwMUffRQXZwZA7YM609NmRc/edit?usp=share_link"",""ปัตตานี!M285"")+IMPORTRANGE(""https://docs.google.com/spreadsheets/d/1vl4QWbWdFruual5o_wdo6ZSqXZ_it806oja4CctTLKs/edit?usp=share_link"",""พังงา!M285"")+IMPORTRANGE(""https://docs.google.com/spreadsheets/d/1"&amp;"b6QssHQp2FoAPSMKHOy273KNzAomaIKhtdlvuZ_zDNE/edit?usp=share_link"",""พัทลุง!M285"")+IMPORTRANGE(""https://docs.google.com/spreadsheets/d/1o7UZe4_OqlqtLDHrj01Z2YFRSZDf1DMy1n3XViHaxRc/edit?usp=share_link"",""ภูเก็ต!M285"")+IMPORTRANGE(""https://docs.google.c"&amp;"om/spreadsheets/d/1ctPm1vUzcUCPuOj9-eoHUD85PqINFqUB0TjdSWmR5-c/edit?usp=share_link"",""ยะลา!M285"")+IMPORTRANGE(""https://docs.google.com/spreadsheets/d/1YiDIE7Klmt8osgdapRqYWNr7iPGFSsiJqq46S7PYRE0/edit?usp=share_link"",""ระนอง!M285"")+IMPORTRANGE(""https"&amp;"://docs.google.com/spreadsheets/d/16o_4B-V7AWw_6E93bSpXj_XxVv1oVQctk-B6z1dNEWU/edit?usp=share_link"",""สงขลา!M285"")+IMPORTRANGE(""https://docs.google.com/spreadsheets/d/16cywr71Fj4fA5OGRHsZh30ZG2gwJhMAQv69oVBzYHv0/edit?usp=share_link"",""สตูล!M285"")+IMP"&amp;"ORTRANGE(""https://docs.google.com/spreadsheets/d/1vO9Sws6kMtrVtyvrAJptINXjK8TFBoX9xLYOVK_C8bQ/edit?usp=share_link"",""สุราษฎร์ธานี!M285"")"),0)</f>
        <v>0</v>
      </c>
      <c r="N285" s="45">
        <f ca="1">IFERROR(__xludf.DUMMYFUNCTION("IMPORTRANGE(""https://docs.google.com/spreadsheets/d/1kC41EOXpGBFOW658Fs3oD8beYlym0-zO54WY-2Qnp9I/edit?usp=share_link"",""กระบี่!N285"")
+IMPORTRANGE(""https://docs.google.com/spreadsheets/d/1FbzMZY_f3MDiEuK7RpCQKrilJ_kpX0Wm7QBZ1L7EjIU/edit?usp=share_link"&amp;""",""ชุมพร!N285"")+IMPORTRANGE(""https://docs.google.com/spreadsheets/d/1v5sN-00LrXuhBxw4dkh2GrG_z4l5oAqOdJRBCsUyMaM/edit?usp=share_link"",""ตรัง!N285"")+IMPORTRANGE(""https://docs.google.com/spreadsheets/d/1T5rRTzFc79aSIvqnzkZNvwPstq829QYz_xALlO1Z0s8/edi"&amp;"t?usp=share_link"",""นครศรีธรรมราช!N285"")+IMPORTRANGE(""https://docs.google.com/spreadsheets/d/1BeghqumK0IvCmRd2QOy6_afsZq7ZtAGrSnVJy2u7WmY/edit?usp=share_link"",""นราธิวาส!N285"")+IMPORTRANGE(""https://docs.google.com/spreadsheets/d/1IwnW3-jjRf74MCLW-6P"&amp;"iFwMUffRQXZwZA7YM609NmRc/edit?usp=share_link"",""ปัตตานี!N285"")+IMPORTRANGE(""https://docs.google.com/spreadsheets/d/1vl4QWbWdFruual5o_wdo6ZSqXZ_it806oja4CctTLKs/edit?usp=share_link"",""พังงา!N285"")+IMPORTRANGE(""https://docs.google.com/spreadsheets/d/1"&amp;"b6QssHQp2FoAPSMKHOy273KNzAomaIKhtdlvuZ_zDNE/edit?usp=share_link"",""พัทลุง!N285"")+IMPORTRANGE(""https://docs.google.com/spreadsheets/d/1o7UZe4_OqlqtLDHrj01Z2YFRSZDf1DMy1n3XViHaxRc/edit?usp=share_link"",""ภูเก็ต!N285"")+IMPORTRANGE(""https://docs.google.c"&amp;"om/spreadsheets/d/1ctPm1vUzcUCPuOj9-eoHUD85PqINFqUB0TjdSWmR5-c/edit?usp=share_link"",""ยะลา!N285"")+IMPORTRANGE(""https://docs.google.com/spreadsheets/d/1YiDIE7Klmt8osgdapRqYWNr7iPGFSsiJqq46S7PYRE0/edit?usp=share_link"",""ระนอง!N285"")+IMPORTRANGE(""https"&amp;"://docs.google.com/spreadsheets/d/16o_4B-V7AWw_6E93bSpXj_XxVv1oVQctk-B6z1dNEWU/edit?usp=share_link"",""สงขลา!N285"")+IMPORTRANGE(""https://docs.google.com/spreadsheets/d/16cywr71Fj4fA5OGRHsZh30ZG2gwJhMAQv69oVBzYHv0/edit?usp=share_link"",""สตูล!N285"")+IMP"&amp;"ORTRANGE(""https://docs.google.com/spreadsheets/d/1vO9Sws6kMtrVtyvrAJptINXjK8TFBoX9xLYOVK_C8bQ/edit?usp=share_link"",""สุราษฎร์ธานี!N285"")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IFERROR(__xludf.DUMMYFUNCTION("IMPORTRANGE(""https://docs.google.com/spreadsheets/d/1kC41EOXpGBFOW658Fs3oD8beYlym0-zO54WY-2Qnp9I/edit?usp=share_link"",""กระบี่!I287"")
+IMPORTRANGE(""https://docs.google.com/spreadsheets/d/1FbzMZY_f3MDiEuK7RpCQKrilJ_kpX0Wm7QBZ1L7EjIU/edit?usp=share_link"&amp;""",""ชุมพร!I287"")+IMPORTRANGE(""https://docs.google.com/spreadsheets/d/1v5sN-00LrXuhBxw4dkh2GrG_z4l5oAqOdJRBCsUyMaM/edit?usp=share_link"",""ตรัง!I287"")+IMPORTRANGE(""https://docs.google.com/spreadsheets/d/1T5rRTzFc79aSIvqnzkZNvwPstq829QYz_xALlO1Z0s8/edi"&amp;"t?usp=share_link"",""นครศรีธรรมราช!I287"")+IMPORTRANGE(""https://docs.google.com/spreadsheets/d/1BeghqumK0IvCmRd2QOy6_afsZq7ZtAGrSnVJy2u7WmY/edit?usp=share_link"",""นราธิวาส!I287"")+IMPORTRANGE(""https://docs.google.com/spreadsheets/d/1IwnW3-jjRf74MCLW-6P"&amp;"iFwMUffRQXZwZA7YM609NmRc/edit?usp=share_link"",""ปัตตานี!I287"")+IMPORTRANGE(""https://docs.google.com/spreadsheets/d/1vl4QWbWdFruual5o_wdo6ZSqXZ_it806oja4CctTLKs/edit?usp=share_link"",""พังงา!I287"")+IMPORTRANGE(""https://docs.google.com/spreadsheets/d/1"&amp;"b6QssHQp2FoAPSMKHOy273KNzAomaIKhtdlvuZ_zDNE/edit?usp=share_link"",""พัทลุง!I287"")+IMPORTRANGE(""https://docs.google.com/spreadsheets/d/1o7UZe4_OqlqtLDHrj01Z2YFRSZDf1DMy1n3XViHaxRc/edit?usp=share_link"",""ภูเก็ต!I287"")+IMPORTRANGE(""https://docs.google.c"&amp;"om/spreadsheets/d/1ctPm1vUzcUCPuOj9-eoHUD85PqINFqUB0TjdSWmR5-c/edit?usp=share_link"",""ยะลา!I287"")+IMPORTRANGE(""https://docs.google.com/spreadsheets/d/1YiDIE7Klmt8osgdapRqYWNr7iPGFSsiJqq46S7PYRE0/edit?usp=share_link"",""ระนอง!I287"")+IMPORTRANGE(""https"&amp;"://docs.google.com/spreadsheets/d/16o_4B-V7AWw_6E93bSpXj_XxVv1oVQctk-B6z1dNEWU/edit?usp=share_link"",""สงขลา!I287"")+IMPORTRANGE(""https://docs.google.com/spreadsheets/d/16cywr71Fj4fA5OGRHsZh30ZG2gwJhMAQv69oVBzYHv0/edit?usp=share_link"",""สตูล!I287"")+IMP"&amp;"ORTRANGE(""https://docs.google.com/spreadsheets/d/1vO9Sws6kMtrVtyvrAJptINXjK8TFBoX9xLYOVK_C8bQ/edit?usp=share_link"",""สุราษฎร์ธานี!I287"")"),200)</f>
        <v>200</v>
      </c>
      <c r="J287" s="183">
        <f ca="1">IFERROR(__xludf.DUMMYFUNCTION("IMPORTRANGE(""https://docs.google.com/spreadsheets/d/1kC41EOXpGBFOW658Fs3oD8beYlym0-zO54WY-2Qnp9I/edit?usp=share_link"",""กระบี่!J287"")
+IMPORTRANGE(""https://docs.google.com/spreadsheets/d/1FbzMZY_f3MDiEuK7RpCQKrilJ_kpX0Wm7QBZ1L7EjIU/edit?usp=share_link"&amp;""",""ชุมพร!J287"")+IMPORTRANGE(""https://docs.google.com/spreadsheets/d/1v5sN-00LrXuhBxw4dkh2GrG_z4l5oAqOdJRBCsUyMaM/edit?usp=share_link"",""ตรัง!J287"")+IMPORTRANGE(""https://docs.google.com/spreadsheets/d/1T5rRTzFc79aSIvqnzkZNvwPstq829QYz_xALlO1Z0s8/edi"&amp;"t?usp=share_link"",""นครศรีธรรมราช!J287"")+IMPORTRANGE(""https://docs.google.com/spreadsheets/d/1BeghqumK0IvCmRd2QOy6_afsZq7ZtAGrSnVJy2u7WmY/edit?usp=share_link"",""นราธิวาส!J287"")+IMPORTRANGE(""https://docs.google.com/spreadsheets/d/1IwnW3-jjRf74MCLW-6P"&amp;"iFwMUffRQXZwZA7YM609NmRc/edit?usp=share_link"",""ปัตตานี!J287"")+IMPORTRANGE(""https://docs.google.com/spreadsheets/d/1vl4QWbWdFruual5o_wdo6ZSqXZ_it806oja4CctTLKs/edit?usp=share_link"",""พังงา!J287"")+IMPORTRANGE(""https://docs.google.com/spreadsheets/d/1"&amp;"b6QssHQp2FoAPSMKHOy273KNzAomaIKhtdlvuZ_zDNE/edit?usp=share_link"",""พัทลุง!J287"")+IMPORTRANGE(""https://docs.google.com/spreadsheets/d/1o7UZe4_OqlqtLDHrj01Z2YFRSZDf1DMy1n3XViHaxRc/edit?usp=share_link"",""ภูเก็ต!J287"")+IMPORTRANGE(""https://docs.google.c"&amp;"om/spreadsheets/d/1ctPm1vUzcUCPuOj9-eoHUD85PqINFqUB0TjdSWmR5-c/edit?usp=share_link"",""ยะลา!J287"")+IMPORTRANGE(""https://docs.google.com/spreadsheets/d/1YiDIE7Klmt8osgdapRqYWNr7iPGFSsiJqq46S7PYRE0/edit?usp=share_link"",""ระนอง!J287"")+IMPORTRANGE(""https"&amp;"://docs.google.com/spreadsheets/d/16o_4B-V7AWw_6E93bSpXj_XxVv1oVQctk-B6z1dNEWU/edit?usp=share_link"",""สงขลา!J287"")+IMPORTRANGE(""https://docs.google.com/spreadsheets/d/16cywr71Fj4fA5OGRHsZh30ZG2gwJhMAQv69oVBzYHv0/edit?usp=share_link"",""สตูล!J287"")+IMP"&amp;"ORTRANGE(""https://docs.google.com/spreadsheets/d/1vO9Sws6kMtrVtyvrAJptINXjK8TFBoX9xLYOVK_C8bQ/edit?usp=share_link"",""สุราษฎร์ธานี!J287"")"),200)</f>
        <v>200</v>
      </c>
      <c r="K287" s="163">
        <f t="shared" ref="K287:K288" ca="1" si="154">IF(I287&gt;0,J287*100/I287,0)</f>
        <v>100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1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IFERROR(__xludf.DUMMYFUNCTION("IMPORTRANGE(""https://docs.google.com/spreadsheets/d/1kC41EOXpGBFOW658Fs3oD8beYlym0-zO54WY-2Qnp9I/edit?usp=share_link"",""กระบี่!I288"")
+IMPORTRANGE(""https://docs.google.com/spreadsheets/d/1FbzMZY_f3MDiEuK7RpCQKrilJ_kpX0Wm7QBZ1L7EjIU/edit?usp=share_link"&amp;""",""ชุมพร!I288"")+IMPORTRANGE(""https://docs.google.com/spreadsheets/d/1v5sN-00LrXuhBxw4dkh2GrG_z4l5oAqOdJRBCsUyMaM/edit?usp=share_link"",""ตรัง!I288"")+IMPORTRANGE(""https://docs.google.com/spreadsheets/d/1T5rRTzFc79aSIvqnzkZNvwPstq829QYz_xALlO1Z0s8/edi"&amp;"t?usp=share_link"",""นครศรีธรรมราช!I288"")+IMPORTRANGE(""https://docs.google.com/spreadsheets/d/1BeghqumK0IvCmRd2QOy6_afsZq7ZtAGrSnVJy2u7WmY/edit?usp=share_link"",""นราธิวาส!I288"")+IMPORTRANGE(""https://docs.google.com/spreadsheets/d/1IwnW3-jjRf74MCLW-6P"&amp;"iFwMUffRQXZwZA7YM609NmRc/edit?usp=share_link"",""ปัตตานี!I288"")+IMPORTRANGE(""https://docs.google.com/spreadsheets/d/1vl4QWbWdFruual5o_wdo6ZSqXZ_it806oja4CctTLKs/edit?usp=share_link"",""พังงา!I288"")+IMPORTRANGE(""https://docs.google.com/spreadsheets/d/1"&amp;"b6QssHQp2FoAPSMKHOy273KNzAomaIKhtdlvuZ_zDNE/edit?usp=share_link"",""พัทลุง!I288"")+IMPORTRANGE(""https://docs.google.com/spreadsheets/d/1o7UZe4_OqlqtLDHrj01Z2YFRSZDf1DMy1n3XViHaxRc/edit?usp=share_link"",""ภูเก็ต!I288"")+IMPORTRANGE(""https://docs.google.c"&amp;"om/spreadsheets/d/1ctPm1vUzcUCPuOj9-eoHUD85PqINFqUB0TjdSWmR5-c/edit?usp=share_link"",""ยะลา!I288"")+IMPORTRANGE(""https://docs.google.com/spreadsheets/d/1YiDIE7Klmt8osgdapRqYWNr7iPGFSsiJqq46S7PYRE0/edit?usp=share_link"",""ระนอง!I288"")+IMPORTRANGE(""https"&amp;"://docs.google.com/spreadsheets/d/16o_4B-V7AWw_6E93bSpXj_XxVv1oVQctk-B6z1dNEWU/edit?usp=share_link"",""สงขลา!I288"")+IMPORTRANGE(""https://docs.google.com/spreadsheets/d/16cywr71Fj4fA5OGRHsZh30ZG2gwJhMAQv69oVBzYHv0/edit?usp=share_link"",""สตูล!I288"")+IMP"&amp;"ORTRANGE(""https://docs.google.com/spreadsheets/d/1vO9Sws6kMtrVtyvrAJptINXjK8TFBoX9xLYOVK_C8bQ/edit?usp=share_link"",""สุราษฎร์ธานี!I288"")"),20)</f>
        <v>20</v>
      </c>
      <c r="J288" s="194">
        <f ca="1">IFERROR(__xludf.DUMMYFUNCTION("IMPORTRANGE(""https://docs.google.com/spreadsheets/d/1kC41EOXpGBFOW658Fs3oD8beYlym0-zO54WY-2Qnp9I/edit?usp=share_link"",""กระบี่!J288"")
+IMPORTRANGE(""https://docs.google.com/spreadsheets/d/1FbzMZY_f3MDiEuK7RpCQKrilJ_kpX0Wm7QBZ1L7EjIU/edit?usp=share_link"&amp;""",""ชุมพร!J288"")+IMPORTRANGE(""https://docs.google.com/spreadsheets/d/1v5sN-00LrXuhBxw4dkh2GrG_z4l5oAqOdJRBCsUyMaM/edit?usp=share_link"",""ตรัง!J288"")+IMPORTRANGE(""https://docs.google.com/spreadsheets/d/1T5rRTzFc79aSIvqnzkZNvwPstq829QYz_xALlO1Z0s8/edi"&amp;"t?usp=share_link"",""นครศรีธรรมราช!J288"")+IMPORTRANGE(""https://docs.google.com/spreadsheets/d/1BeghqumK0IvCmRd2QOy6_afsZq7ZtAGrSnVJy2u7WmY/edit?usp=share_link"",""นราธิวาส!J288"")+IMPORTRANGE(""https://docs.google.com/spreadsheets/d/1IwnW3-jjRf74MCLW-6P"&amp;"iFwMUffRQXZwZA7YM609NmRc/edit?usp=share_link"",""ปัตตานี!J288"")+IMPORTRANGE(""https://docs.google.com/spreadsheets/d/1vl4QWbWdFruual5o_wdo6ZSqXZ_it806oja4CctTLKs/edit?usp=share_link"",""พังงา!J288"")+IMPORTRANGE(""https://docs.google.com/spreadsheets/d/1"&amp;"b6QssHQp2FoAPSMKHOy273KNzAomaIKhtdlvuZ_zDNE/edit?usp=share_link"",""พัทลุง!J288"")+IMPORTRANGE(""https://docs.google.com/spreadsheets/d/1o7UZe4_OqlqtLDHrj01Z2YFRSZDf1DMy1n3XViHaxRc/edit?usp=share_link"",""ภูเก็ต!J288"")+IMPORTRANGE(""https://docs.google.c"&amp;"om/spreadsheets/d/1ctPm1vUzcUCPuOj9-eoHUD85PqINFqUB0TjdSWmR5-c/edit?usp=share_link"",""ยะลา!J288"")+IMPORTRANGE(""https://docs.google.com/spreadsheets/d/1YiDIE7Klmt8osgdapRqYWNr7iPGFSsiJqq46S7PYRE0/edit?usp=share_link"",""ระนอง!J288"")+IMPORTRANGE(""https"&amp;"://docs.google.com/spreadsheets/d/16o_4B-V7AWw_6E93bSpXj_XxVv1oVQctk-B6z1dNEWU/edit?usp=share_link"",""สงขลา!J288"")+IMPORTRANGE(""https://docs.google.com/spreadsheets/d/16cywr71Fj4fA5OGRHsZh30ZG2gwJhMAQv69oVBzYHv0/edit?usp=share_link"",""สตูล!J288"")+IMP"&amp;"ORTRANGE(""https://docs.google.com/spreadsheets/d/1vO9Sws6kMtrVtyvrAJptINXjK8TFBoX9xLYOVK_C8bQ/edit?usp=share_link"",""สุราษฎร์ธานี!J288"")"),20)</f>
        <v>20</v>
      </c>
      <c r="K288" s="412">
        <f t="shared" ca="1" si="154"/>
        <v>100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3"/>
      <c r="E289" s="414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3"/>
      <c r="E290" s="411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IFERROR(__xludf.DUMMYFUNCTION("IMPORTRANGE(""https://docs.google.com/spreadsheets/d/1kC41EOXpGBFOW658Fs3oD8beYlym0-zO54WY-2Qnp9I/edit?usp=share_link"",""กระบี่!I290"")
+IMPORTRANGE(""https://docs.google.com/spreadsheets/d/1FbzMZY_f3MDiEuK7RpCQKrilJ_kpX0Wm7QBZ1L7EjIU/edit?usp=share_link"&amp;""",""ชุมพร!I290"")+IMPORTRANGE(""https://docs.google.com/spreadsheets/d/1v5sN-00LrXuhBxw4dkh2GrG_z4l5oAqOdJRBCsUyMaM/edit?usp=share_link"",""ตรัง!I290"")+IMPORTRANGE(""https://docs.google.com/spreadsheets/d/1T5rRTzFc79aSIvqnzkZNvwPstq829QYz_xALlO1Z0s8/edi"&amp;"t?usp=share_link"",""นครศรีธรรมราช!I290"")+IMPORTRANGE(""https://docs.google.com/spreadsheets/d/1BeghqumK0IvCmRd2QOy6_afsZq7ZtAGrSnVJy2u7WmY/edit?usp=share_link"",""นราธิวาส!I290"")+IMPORTRANGE(""https://docs.google.com/spreadsheets/d/1IwnW3-jjRf74MCLW-6P"&amp;"iFwMUffRQXZwZA7YM609NmRc/edit?usp=share_link"",""ปัตตานี!I290"")+IMPORTRANGE(""https://docs.google.com/spreadsheets/d/1vl4QWbWdFruual5o_wdo6ZSqXZ_it806oja4CctTLKs/edit?usp=share_link"",""พังงา!I290"")+IMPORTRANGE(""https://docs.google.com/spreadsheets/d/1"&amp;"b6QssHQp2FoAPSMKHOy273KNzAomaIKhtdlvuZ_zDNE/edit?usp=share_link"",""พัทลุง!I290"")+IMPORTRANGE(""https://docs.google.com/spreadsheets/d/1o7UZe4_OqlqtLDHrj01Z2YFRSZDf1DMy1n3XViHaxRc/edit?usp=share_link"",""ภูเก็ต!I290"")+IMPORTRANGE(""https://docs.google.c"&amp;"om/spreadsheets/d/1ctPm1vUzcUCPuOj9-eoHUD85PqINFqUB0TjdSWmR5-c/edit?usp=share_link"",""ยะลา!I290"")+IMPORTRANGE(""https://docs.google.com/spreadsheets/d/1YiDIE7Klmt8osgdapRqYWNr7iPGFSsiJqq46S7PYRE0/edit?usp=share_link"",""ระนอง!I290"")+IMPORTRANGE(""https"&amp;"://docs.google.com/spreadsheets/d/16o_4B-V7AWw_6E93bSpXj_XxVv1oVQctk-B6z1dNEWU/edit?usp=share_link"",""สงขลา!I290"")+IMPORTRANGE(""https://docs.google.com/spreadsheets/d/16cywr71Fj4fA5OGRHsZh30ZG2gwJhMAQv69oVBzYHv0/edit?usp=share_link"",""สตูล!I290"")+IMP"&amp;"ORTRANGE(""https://docs.google.com/spreadsheets/d/1vO9Sws6kMtrVtyvrAJptINXjK8TFBoX9xLYOVK_C8bQ/edit?usp=share_link"",""สุราษฎร์ธานี!I290"")"),20)</f>
        <v>20</v>
      </c>
      <c r="J290" s="183">
        <f ca="1">IFERROR(__xludf.DUMMYFUNCTION("IMPORTRANGE(""https://docs.google.com/spreadsheets/d/1kC41EOXpGBFOW658Fs3oD8beYlym0-zO54WY-2Qnp9I/edit?usp=share_link"",""กระบี่!J290"")
+IMPORTRANGE(""https://docs.google.com/spreadsheets/d/1FbzMZY_f3MDiEuK7RpCQKrilJ_kpX0Wm7QBZ1L7EjIU/edit?usp=share_link"&amp;""",""ชุมพร!J290"")+IMPORTRANGE(""https://docs.google.com/spreadsheets/d/1v5sN-00LrXuhBxw4dkh2GrG_z4l5oAqOdJRBCsUyMaM/edit?usp=share_link"",""ตรัง!J290"")+IMPORTRANGE(""https://docs.google.com/spreadsheets/d/1T5rRTzFc79aSIvqnzkZNvwPstq829QYz_xALlO1Z0s8/edi"&amp;"t?usp=share_link"",""นครศรีธรรมราช!J290"")+IMPORTRANGE(""https://docs.google.com/spreadsheets/d/1BeghqumK0IvCmRd2QOy6_afsZq7ZtAGrSnVJy2u7WmY/edit?usp=share_link"",""นราธิวาส!J290"")+IMPORTRANGE(""https://docs.google.com/spreadsheets/d/1IwnW3-jjRf74MCLW-6P"&amp;"iFwMUffRQXZwZA7YM609NmRc/edit?usp=share_link"",""ปัตตานี!J290"")+IMPORTRANGE(""https://docs.google.com/spreadsheets/d/1vl4QWbWdFruual5o_wdo6ZSqXZ_it806oja4CctTLKs/edit?usp=share_link"",""พังงา!J290"")+IMPORTRANGE(""https://docs.google.com/spreadsheets/d/1"&amp;"b6QssHQp2FoAPSMKHOy273KNzAomaIKhtdlvuZ_zDNE/edit?usp=share_link"",""พัทลุง!J290"")+IMPORTRANGE(""https://docs.google.com/spreadsheets/d/1o7UZe4_OqlqtLDHrj01Z2YFRSZDf1DMy1n3XViHaxRc/edit?usp=share_link"",""ภูเก็ต!J290"")+IMPORTRANGE(""https://docs.google.c"&amp;"om/spreadsheets/d/1ctPm1vUzcUCPuOj9-eoHUD85PqINFqUB0TjdSWmR5-c/edit?usp=share_link"",""ยะลา!J290"")+IMPORTRANGE(""https://docs.google.com/spreadsheets/d/1YiDIE7Klmt8osgdapRqYWNr7iPGFSsiJqq46S7PYRE0/edit?usp=share_link"",""ระนอง!J290"")+IMPORTRANGE(""https"&amp;"://docs.google.com/spreadsheets/d/16o_4B-V7AWw_6E93bSpXj_XxVv1oVQctk-B6z1dNEWU/edit?usp=share_link"",""สงขลา!J290"")+IMPORTRANGE(""https://docs.google.com/spreadsheets/d/16cywr71Fj4fA5OGRHsZh30ZG2gwJhMAQv69oVBzYHv0/edit?usp=share_link"",""สตูล!J290"")+IMP"&amp;"ORTRANGE(""https://docs.google.com/spreadsheets/d/1vO9Sws6kMtrVtyvrAJptINXjK8TFBoX9xLYOVK_C8bQ/edit?usp=share_link"",""สุราษฎร์ธานี!J290"")"),20)</f>
        <v>20</v>
      </c>
      <c r="K290" s="163">
        <f t="shared" ref="K290:K291" ca="1" si="155">IF(I290&gt;0,J290*100/I290,0)</f>
        <v>100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1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IFERROR(__xludf.DUMMYFUNCTION("IMPORTRANGE(""https://docs.google.com/spreadsheets/d/1kC41EOXpGBFOW658Fs3oD8beYlym0-zO54WY-2Qnp9I/edit?usp=share_link"",""กระบี่!I291"")
+IMPORTRANGE(""https://docs.google.com/spreadsheets/d/1FbzMZY_f3MDiEuK7RpCQKrilJ_kpX0Wm7QBZ1L7EjIU/edit?usp=share_link"&amp;""",""ชุมพร!I291"")+IMPORTRANGE(""https://docs.google.com/spreadsheets/d/1v5sN-00LrXuhBxw4dkh2GrG_z4l5oAqOdJRBCsUyMaM/edit?usp=share_link"",""ตรัง!I291"")+IMPORTRANGE(""https://docs.google.com/spreadsheets/d/1T5rRTzFc79aSIvqnzkZNvwPstq829QYz_xALlO1Z0s8/edi"&amp;"t?usp=share_link"",""นครศรีธรรมราช!I291"")+IMPORTRANGE(""https://docs.google.com/spreadsheets/d/1BeghqumK0IvCmRd2QOy6_afsZq7ZtAGrSnVJy2u7WmY/edit?usp=share_link"",""นราธิวาส!I291"")+IMPORTRANGE(""https://docs.google.com/spreadsheets/d/1IwnW3-jjRf74MCLW-6P"&amp;"iFwMUffRQXZwZA7YM609NmRc/edit?usp=share_link"",""ปัตตานี!I291"")+IMPORTRANGE(""https://docs.google.com/spreadsheets/d/1vl4QWbWdFruual5o_wdo6ZSqXZ_it806oja4CctTLKs/edit?usp=share_link"",""พังงา!I291"")+IMPORTRANGE(""https://docs.google.com/spreadsheets/d/1"&amp;"b6QssHQp2FoAPSMKHOy273KNzAomaIKhtdlvuZ_zDNE/edit?usp=share_link"",""พัทลุง!I291"")+IMPORTRANGE(""https://docs.google.com/spreadsheets/d/1o7UZe4_OqlqtLDHrj01Z2YFRSZDf1DMy1n3XViHaxRc/edit?usp=share_link"",""ภูเก็ต!I291"")+IMPORTRANGE(""https://docs.google.c"&amp;"om/spreadsheets/d/1ctPm1vUzcUCPuOj9-eoHUD85PqINFqUB0TjdSWmR5-c/edit?usp=share_link"",""ยะลา!I291"")+IMPORTRANGE(""https://docs.google.com/spreadsheets/d/1YiDIE7Klmt8osgdapRqYWNr7iPGFSsiJqq46S7PYRE0/edit?usp=share_link"",""ระนอง!I291"")+IMPORTRANGE(""https"&amp;"://docs.google.com/spreadsheets/d/16o_4B-V7AWw_6E93bSpXj_XxVv1oVQctk-B6z1dNEWU/edit?usp=share_link"",""สงขลา!I291"")+IMPORTRANGE(""https://docs.google.com/spreadsheets/d/16cywr71Fj4fA5OGRHsZh30ZG2gwJhMAQv69oVBzYHv0/edit?usp=share_link"",""สตูล!I291"")+IMP"&amp;"ORTRANGE(""https://docs.google.com/spreadsheets/d/1vO9Sws6kMtrVtyvrAJptINXjK8TFBoX9xLYOVK_C8bQ/edit?usp=share_link"",""สุราษฎร์ธานี!I291"")"),20)</f>
        <v>20</v>
      </c>
      <c r="J291" s="183">
        <f ca="1">IFERROR(__xludf.DUMMYFUNCTION("IMPORTRANGE(""https://docs.google.com/spreadsheets/d/1kC41EOXpGBFOW658Fs3oD8beYlym0-zO54WY-2Qnp9I/edit?usp=share_link"",""กระบี่!J291"")
+IMPORTRANGE(""https://docs.google.com/spreadsheets/d/1FbzMZY_f3MDiEuK7RpCQKrilJ_kpX0Wm7QBZ1L7EjIU/edit?usp=share_link"&amp;""",""ชุมพร!J291"")+IMPORTRANGE(""https://docs.google.com/spreadsheets/d/1v5sN-00LrXuhBxw4dkh2GrG_z4l5oAqOdJRBCsUyMaM/edit?usp=share_link"",""ตรัง!J291"")+IMPORTRANGE(""https://docs.google.com/spreadsheets/d/1T5rRTzFc79aSIvqnzkZNvwPstq829QYz_xALlO1Z0s8/edi"&amp;"t?usp=share_link"",""นครศรีธรรมราช!J291"")+IMPORTRANGE(""https://docs.google.com/spreadsheets/d/1BeghqumK0IvCmRd2QOy6_afsZq7ZtAGrSnVJy2u7WmY/edit?usp=share_link"",""นราธิวาส!J291"")+IMPORTRANGE(""https://docs.google.com/spreadsheets/d/1IwnW3-jjRf74MCLW-6P"&amp;"iFwMUffRQXZwZA7YM609NmRc/edit?usp=share_link"",""ปัตตานี!J291"")+IMPORTRANGE(""https://docs.google.com/spreadsheets/d/1vl4QWbWdFruual5o_wdo6ZSqXZ_it806oja4CctTLKs/edit?usp=share_link"",""พังงา!J291"")+IMPORTRANGE(""https://docs.google.com/spreadsheets/d/1"&amp;"b6QssHQp2FoAPSMKHOy273KNzAomaIKhtdlvuZ_zDNE/edit?usp=share_link"",""พัทลุง!J291"")+IMPORTRANGE(""https://docs.google.com/spreadsheets/d/1o7UZe4_OqlqtLDHrj01Z2YFRSZDf1DMy1n3XViHaxRc/edit?usp=share_link"",""ภูเก็ต!J291"")+IMPORTRANGE(""https://docs.google.c"&amp;"om/spreadsheets/d/1ctPm1vUzcUCPuOj9-eoHUD85PqINFqUB0TjdSWmR5-c/edit?usp=share_link"",""ยะลา!J291"")+IMPORTRANGE(""https://docs.google.com/spreadsheets/d/1YiDIE7Klmt8osgdapRqYWNr7iPGFSsiJqq46S7PYRE0/edit?usp=share_link"",""ระนอง!J291"")+IMPORTRANGE(""https"&amp;"://docs.google.com/spreadsheets/d/16o_4B-V7AWw_6E93bSpXj_XxVv1oVQctk-B6z1dNEWU/edit?usp=share_link"",""สงขลา!J291"")+IMPORTRANGE(""https://docs.google.com/spreadsheets/d/16cywr71Fj4fA5OGRHsZh30ZG2gwJhMAQv69oVBzYHv0/edit?usp=share_link"",""สตูล!J291"")+IMP"&amp;"ORTRANGE(""https://docs.google.com/spreadsheets/d/1vO9Sws6kMtrVtyvrAJptINXjK8TFBoX9xLYOVK_C8bQ/edit?usp=share_link"",""สุราษฎร์ธานี!J291"")"),20)</f>
        <v>20</v>
      </c>
      <c r="K291" s="163">
        <f t="shared" ca="1" si="155"/>
        <v>100</v>
      </c>
      <c r="L291" s="163"/>
      <c r="M291" s="163"/>
      <c r="N291" s="163"/>
      <c r="O291" s="163"/>
      <c r="P291" s="163"/>
    </row>
    <row r="292" spans="1:26" ht="20.25" customHeight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3"/>
      <c r="E293" s="411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IFERROR(__xludf.DUMMYFUNCTION("IMPORTRANGE(""https://docs.google.com/spreadsheets/d/1kC41EOXpGBFOW658Fs3oD8beYlym0-zO54WY-2Qnp9I/edit?usp=share_link"",""กระบี่!I293"")
+IMPORTRANGE(""https://docs.google.com/spreadsheets/d/1FbzMZY_f3MDiEuK7RpCQKrilJ_kpX0Wm7QBZ1L7EjIU/edit?usp=share_link"&amp;""",""ชุมพร!I293"")+IMPORTRANGE(""https://docs.google.com/spreadsheets/d/1v5sN-00LrXuhBxw4dkh2GrG_z4l5oAqOdJRBCsUyMaM/edit?usp=share_link"",""ตรัง!I293"")+IMPORTRANGE(""https://docs.google.com/spreadsheets/d/1T5rRTzFc79aSIvqnzkZNvwPstq829QYz_xALlO1Z0s8/edi"&amp;"t?usp=share_link"",""นครศรีธรรมราช!I293"")+IMPORTRANGE(""https://docs.google.com/spreadsheets/d/1BeghqumK0IvCmRd2QOy6_afsZq7ZtAGrSnVJy2u7WmY/edit?usp=share_link"",""นราธิวาส!I293"")+IMPORTRANGE(""https://docs.google.com/spreadsheets/d/1IwnW3-jjRf74MCLW-6P"&amp;"iFwMUffRQXZwZA7YM609NmRc/edit?usp=share_link"",""ปัตตานี!I293"")+IMPORTRANGE(""https://docs.google.com/spreadsheets/d/1vl4QWbWdFruual5o_wdo6ZSqXZ_it806oja4CctTLKs/edit?usp=share_link"",""พังงา!I293"")+IMPORTRANGE(""https://docs.google.com/spreadsheets/d/1"&amp;"b6QssHQp2FoAPSMKHOy273KNzAomaIKhtdlvuZ_zDNE/edit?usp=share_link"",""พัทลุง!I293"")+IMPORTRANGE(""https://docs.google.com/spreadsheets/d/1o7UZe4_OqlqtLDHrj01Z2YFRSZDf1DMy1n3XViHaxRc/edit?usp=share_link"",""ภูเก็ต!I293"")+IMPORTRANGE(""https://docs.google.c"&amp;"om/spreadsheets/d/1ctPm1vUzcUCPuOj9-eoHUD85PqINFqUB0TjdSWmR5-c/edit?usp=share_link"",""ยะลา!I293"")+IMPORTRANGE(""https://docs.google.com/spreadsheets/d/1YiDIE7Klmt8osgdapRqYWNr7iPGFSsiJqq46S7PYRE0/edit?usp=share_link"",""ระนอง!I293"")+IMPORTRANGE(""https"&amp;"://docs.google.com/spreadsheets/d/16o_4B-V7AWw_6E93bSpXj_XxVv1oVQctk-B6z1dNEWU/edit?usp=share_link"",""สงขลา!I293"")+IMPORTRANGE(""https://docs.google.com/spreadsheets/d/16cywr71Fj4fA5OGRHsZh30ZG2gwJhMAQv69oVBzYHv0/edit?usp=share_link"",""สตูล!I293"")+IMP"&amp;"ORTRANGE(""https://docs.google.com/spreadsheets/d/1vO9Sws6kMtrVtyvrAJptINXjK8TFBoX9xLYOVK_C8bQ/edit?usp=share_link"",""สุราษฎร์ธานี!I293"")"),20)</f>
        <v>20</v>
      </c>
      <c r="J293" s="183">
        <f ca="1">IFERROR(__xludf.DUMMYFUNCTION("IMPORTRANGE(""https://docs.google.com/spreadsheets/d/1kC41EOXpGBFOW658Fs3oD8beYlym0-zO54WY-2Qnp9I/edit?usp=share_link"",""กระบี่!J293"")
+IMPORTRANGE(""https://docs.google.com/spreadsheets/d/1FbzMZY_f3MDiEuK7RpCQKrilJ_kpX0Wm7QBZ1L7EjIU/edit?usp=share_link"&amp;""",""ชุมพร!J293"")+IMPORTRANGE(""https://docs.google.com/spreadsheets/d/1v5sN-00LrXuhBxw4dkh2GrG_z4l5oAqOdJRBCsUyMaM/edit?usp=share_link"",""ตรัง!J293"")+IMPORTRANGE(""https://docs.google.com/spreadsheets/d/1T5rRTzFc79aSIvqnzkZNvwPstq829QYz_xALlO1Z0s8/edi"&amp;"t?usp=share_link"",""นครศรีธรรมราช!J293"")+IMPORTRANGE(""https://docs.google.com/spreadsheets/d/1BeghqumK0IvCmRd2QOy6_afsZq7ZtAGrSnVJy2u7WmY/edit?usp=share_link"",""นราธิวาส!J293"")+IMPORTRANGE(""https://docs.google.com/spreadsheets/d/1IwnW3-jjRf74MCLW-6P"&amp;"iFwMUffRQXZwZA7YM609NmRc/edit?usp=share_link"",""ปัตตานี!J293"")+IMPORTRANGE(""https://docs.google.com/spreadsheets/d/1vl4QWbWdFruual5o_wdo6ZSqXZ_it806oja4CctTLKs/edit?usp=share_link"",""พังงา!J293"")+IMPORTRANGE(""https://docs.google.com/spreadsheets/d/1"&amp;"b6QssHQp2FoAPSMKHOy273KNzAomaIKhtdlvuZ_zDNE/edit?usp=share_link"",""พัทลุง!J293"")+IMPORTRANGE(""https://docs.google.com/spreadsheets/d/1o7UZe4_OqlqtLDHrj01Z2YFRSZDf1DMy1n3XViHaxRc/edit?usp=share_link"",""ภูเก็ต!J293"")+IMPORTRANGE(""https://docs.google.c"&amp;"om/spreadsheets/d/1ctPm1vUzcUCPuOj9-eoHUD85PqINFqUB0TjdSWmR5-c/edit?usp=share_link"",""ยะลา!J293"")+IMPORTRANGE(""https://docs.google.com/spreadsheets/d/1YiDIE7Klmt8osgdapRqYWNr7iPGFSsiJqq46S7PYRE0/edit?usp=share_link"",""ระนอง!J293"")+IMPORTRANGE(""https"&amp;"://docs.google.com/spreadsheets/d/16o_4B-V7AWw_6E93bSpXj_XxVv1oVQctk-B6z1dNEWU/edit?usp=share_link"",""สงขลา!J293"")+IMPORTRANGE(""https://docs.google.com/spreadsheets/d/16cywr71Fj4fA5OGRHsZh30ZG2gwJhMAQv69oVBzYHv0/edit?usp=share_link"",""สตูล!J293"")+IMP"&amp;"ORTRANGE(""https://docs.google.com/spreadsheets/d/1vO9Sws6kMtrVtyvrAJptINXjK8TFBoX9xLYOVK_C8bQ/edit?usp=share_link"",""สุราษฎร์ธานี!J293"")"),20)</f>
        <v>20</v>
      </c>
      <c r="K293" s="163">
        <f t="shared" ref="K293:K294" ca="1" si="156">IF(I293&gt;0,J293*100/I293,0)</f>
        <v>100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2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IFERROR(__xludf.DUMMYFUNCTION("IMPORTRANGE(""https://docs.google.com/spreadsheets/d/1kC41EOXpGBFOW658Fs3oD8beYlym0-zO54WY-2Qnp9I/edit?usp=share_link"",""กระบี่!I294"")
+IMPORTRANGE(""https://docs.google.com/spreadsheets/d/1FbzMZY_f3MDiEuK7RpCQKrilJ_kpX0Wm7QBZ1L7EjIU/edit?usp=share_link"&amp;""",""ชุมพร!I294"")+IMPORTRANGE(""https://docs.google.com/spreadsheets/d/1v5sN-00LrXuhBxw4dkh2GrG_z4l5oAqOdJRBCsUyMaM/edit?usp=share_link"",""ตรัง!I294"")+IMPORTRANGE(""https://docs.google.com/spreadsheets/d/1T5rRTzFc79aSIvqnzkZNvwPstq829QYz_xALlO1Z0s8/edi"&amp;"t?usp=share_link"",""นครศรีธรรมราช!I294"")+IMPORTRANGE(""https://docs.google.com/spreadsheets/d/1BeghqumK0IvCmRd2QOy6_afsZq7ZtAGrSnVJy2u7WmY/edit?usp=share_link"",""นราธิวาส!I294"")+IMPORTRANGE(""https://docs.google.com/spreadsheets/d/1IwnW3-jjRf74MCLW-6P"&amp;"iFwMUffRQXZwZA7YM609NmRc/edit?usp=share_link"",""ปัตตานี!I294"")+IMPORTRANGE(""https://docs.google.com/spreadsheets/d/1vl4QWbWdFruual5o_wdo6ZSqXZ_it806oja4CctTLKs/edit?usp=share_link"",""พังงา!I294"")+IMPORTRANGE(""https://docs.google.com/spreadsheets/d/1"&amp;"b6QssHQp2FoAPSMKHOy273KNzAomaIKhtdlvuZ_zDNE/edit?usp=share_link"",""พัทลุง!I294"")+IMPORTRANGE(""https://docs.google.com/spreadsheets/d/1o7UZe4_OqlqtLDHrj01Z2YFRSZDf1DMy1n3XViHaxRc/edit?usp=share_link"",""ภูเก็ต!I294"")+IMPORTRANGE(""https://docs.google.c"&amp;"om/spreadsheets/d/1ctPm1vUzcUCPuOj9-eoHUD85PqINFqUB0TjdSWmR5-c/edit?usp=share_link"",""ยะลา!I294"")+IMPORTRANGE(""https://docs.google.com/spreadsheets/d/1YiDIE7Klmt8osgdapRqYWNr7iPGFSsiJqq46S7PYRE0/edit?usp=share_link"",""ระนอง!I294"")+IMPORTRANGE(""https"&amp;"://docs.google.com/spreadsheets/d/16o_4B-V7AWw_6E93bSpXj_XxVv1oVQctk-B6z1dNEWU/edit?usp=share_link"",""สงขลา!I294"")+IMPORTRANGE(""https://docs.google.com/spreadsheets/d/16cywr71Fj4fA5OGRHsZh30ZG2gwJhMAQv69oVBzYHv0/edit?usp=share_link"",""สตูล!I294"")+IMP"&amp;"ORTRANGE(""https://docs.google.com/spreadsheets/d/1vO9Sws6kMtrVtyvrAJptINXjK8TFBoX9xLYOVK_C8bQ/edit?usp=share_link"",""สุราษฎร์ธานี!I294"")"),20)</f>
        <v>20</v>
      </c>
      <c r="J294" s="425">
        <f ca="1">IFERROR(__xludf.DUMMYFUNCTION("IMPORTRANGE(""https://docs.google.com/spreadsheets/d/1kC41EOXpGBFOW658Fs3oD8beYlym0-zO54WY-2Qnp9I/edit?usp=share_link"",""กระบี่!J294"")
+IMPORTRANGE(""https://docs.google.com/spreadsheets/d/1FbzMZY_f3MDiEuK7RpCQKrilJ_kpX0Wm7QBZ1L7EjIU/edit?usp=share_link"&amp;""",""ชุมพร!J294"")+IMPORTRANGE(""https://docs.google.com/spreadsheets/d/1v5sN-00LrXuhBxw4dkh2GrG_z4l5oAqOdJRBCsUyMaM/edit?usp=share_link"",""ตรัง!J294"")+IMPORTRANGE(""https://docs.google.com/spreadsheets/d/1T5rRTzFc79aSIvqnzkZNvwPstq829QYz_xALlO1Z0s8/edi"&amp;"t?usp=share_link"",""นครศรีธรรมราช!J294"")+IMPORTRANGE(""https://docs.google.com/spreadsheets/d/1BeghqumK0IvCmRd2QOy6_afsZq7ZtAGrSnVJy2u7WmY/edit?usp=share_link"",""นราธิวาส!J294"")+IMPORTRANGE(""https://docs.google.com/spreadsheets/d/1IwnW3-jjRf74MCLW-6P"&amp;"iFwMUffRQXZwZA7YM609NmRc/edit?usp=share_link"",""ปัตตานี!J294"")+IMPORTRANGE(""https://docs.google.com/spreadsheets/d/1vl4QWbWdFruual5o_wdo6ZSqXZ_it806oja4CctTLKs/edit?usp=share_link"",""พังงา!J294"")+IMPORTRANGE(""https://docs.google.com/spreadsheets/d/1"&amp;"b6QssHQp2FoAPSMKHOy273KNzAomaIKhtdlvuZ_zDNE/edit?usp=share_link"",""พัทลุง!J294"")+IMPORTRANGE(""https://docs.google.com/spreadsheets/d/1o7UZe4_OqlqtLDHrj01Z2YFRSZDf1DMy1n3XViHaxRc/edit?usp=share_link"",""ภูเก็ต!J294"")+IMPORTRANGE(""https://docs.google.c"&amp;"om/spreadsheets/d/1ctPm1vUzcUCPuOj9-eoHUD85PqINFqUB0TjdSWmR5-c/edit?usp=share_link"",""ยะลา!J294"")+IMPORTRANGE(""https://docs.google.com/spreadsheets/d/1YiDIE7Klmt8osgdapRqYWNr7iPGFSsiJqq46S7PYRE0/edit?usp=share_link"",""ระนอง!J294"")+IMPORTRANGE(""https"&amp;"://docs.google.com/spreadsheets/d/16o_4B-V7AWw_6E93bSpXj_XxVv1oVQctk-B6z1dNEWU/edit?usp=share_link"",""สงขลา!J294"")+IMPORTRANGE(""https://docs.google.com/spreadsheets/d/16cywr71Fj4fA5OGRHsZh30ZG2gwJhMAQv69oVBzYHv0/edit?usp=share_link"",""สตูล!J294"")+IMP"&amp;"ORTRANGE(""https://docs.google.com/spreadsheets/d/1vO9Sws6kMtrVtyvrAJptINXjK8TFBoX9xLYOVK_C8bQ/edit?usp=share_link"",""สุราษฎร์ธานี!J294"")"),20)</f>
        <v>20</v>
      </c>
      <c r="K294" s="385">
        <f t="shared" ca="1" si="156"/>
        <v>100</v>
      </c>
      <c r="L294" s="385"/>
      <c r="M294" s="385"/>
      <c r="N294" s="385"/>
      <c r="O294" s="385"/>
      <c r="P294" s="385"/>
    </row>
    <row r="295" spans="1:26" ht="20.25" customHeight="1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20.25" customHeight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20.25" customHeight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57">I309</f>
        <v>100</v>
      </c>
      <c r="J297" s="445">
        <f t="shared" ca="1" si="157"/>
        <v>100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412000</v>
      </c>
      <c r="M298" s="155">
        <f t="shared" ca="1" si="158"/>
        <v>412000</v>
      </c>
      <c r="N298" s="155">
        <f t="shared" ca="1" si="158"/>
        <v>336942</v>
      </c>
      <c r="O298" s="155">
        <f t="shared" ref="O298:O306" ca="1" si="159">IF(L298&gt;0,N298*100/L298,0)</f>
        <v>81.78203883495145</v>
      </c>
      <c r="P298" s="155">
        <f t="shared" ref="P298:P306" ca="1" si="160">IF(M298&gt;0,N298*100/M298,0)</f>
        <v>81.78203883495145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412000</v>
      </c>
      <c r="M300" s="45">
        <f t="shared" ca="1" si="162"/>
        <v>412000</v>
      </c>
      <c r="N300" s="45">
        <f t="shared" ca="1" si="162"/>
        <v>336942</v>
      </c>
      <c r="O300" s="45">
        <f t="shared" ca="1" si="159"/>
        <v>81.78203883495145</v>
      </c>
      <c r="P300" s="45">
        <f t="shared" ca="1" si="160"/>
        <v>81.78203883495145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412000</v>
      </c>
      <c r="M301" s="38">
        <f t="shared" ca="1" si="163"/>
        <v>412000</v>
      </c>
      <c r="N301" s="38">
        <f t="shared" ca="1" si="163"/>
        <v>336942</v>
      </c>
      <c r="O301" s="38">
        <f t="shared" ca="1" si="159"/>
        <v>81.78203883495145</v>
      </c>
      <c r="P301" s="38">
        <f t="shared" ca="1" si="160"/>
        <v>81.78203883495145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IFERROR(__xludf.DUMMYFUNCTION("IMPORTRANGE(""https://docs.google.com/spreadsheets/d/1kC41EOXpGBFOW658Fs3oD8beYlym0-zO54WY-2Qnp9I/edit?usp=share_link"",""กระบี่!L303"")
+IMPORTRANGE(""https://docs.google.com/spreadsheets/d/1FbzMZY_f3MDiEuK7RpCQKrilJ_kpX0Wm7QBZ1L7EjIU/edit?usp=share_link"&amp;""",""ชุมพร!L303"")+IMPORTRANGE(""https://docs.google.com/spreadsheets/d/1v5sN-00LrXuhBxw4dkh2GrG_z4l5oAqOdJRBCsUyMaM/edit?usp=share_link"",""ตรัง!L303"")+IMPORTRANGE(""https://docs.google.com/spreadsheets/d/1T5rRTzFc79aSIvqnzkZNvwPstq829QYz_xALlO1Z0s8/edi"&amp;"t?usp=share_link"",""นครศรีธรรมราช!L303"")+IMPORTRANGE(""https://docs.google.com/spreadsheets/d/1BeghqumK0IvCmRd2QOy6_afsZq7ZtAGrSnVJy2u7WmY/edit?usp=share_link"",""นราธิวาส!L303"")+IMPORTRANGE(""https://docs.google.com/spreadsheets/d/1IwnW3-jjRf74MCLW-6P"&amp;"iFwMUffRQXZwZA7YM609NmRc/edit?usp=share_link"",""ปัตตานี!L303"")+IMPORTRANGE(""https://docs.google.com/spreadsheets/d/1vl4QWbWdFruual5o_wdo6ZSqXZ_it806oja4CctTLKs/edit?usp=share_link"",""พังงา!L303"")+IMPORTRANGE(""https://docs.google.com/spreadsheets/d/1"&amp;"b6QssHQp2FoAPSMKHOy273KNzAomaIKhtdlvuZ_zDNE/edit?usp=share_link"",""พัทลุง!L303"")+IMPORTRANGE(""https://docs.google.com/spreadsheets/d/1o7UZe4_OqlqtLDHrj01Z2YFRSZDf1DMy1n3XViHaxRc/edit?usp=share_link"",""ภูเก็ต!L303"")+IMPORTRANGE(""https://docs.google.c"&amp;"om/spreadsheets/d/1ctPm1vUzcUCPuOj9-eoHUD85PqINFqUB0TjdSWmR5-c/edit?usp=share_link"",""ยะลา!L303"")+IMPORTRANGE(""https://docs.google.com/spreadsheets/d/1YiDIE7Klmt8osgdapRqYWNr7iPGFSsiJqq46S7PYRE0/edit?usp=share_link"",""ระนอง!L303"")+IMPORTRANGE(""https"&amp;"://docs.google.com/spreadsheets/d/16o_4B-V7AWw_6E93bSpXj_XxVv1oVQctk-B6z1dNEWU/edit?usp=share_link"",""สงขลา!L303"")+IMPORTRANGE(""https://docs.google.com/spreadsheets/d/16cywr71Fj4fA5OGRHsZh30ZG2gwJhMAQv69oVBzYHv0/edit?usp=share_link"",""สตูล!L303"")+IMP"&amp;"ORTRANGE(""https://docs.google.com/spreadsheets/d/1vO9Sws6kMtrVtyvrAJptINXjK8TFBoX9xLYOVK_C8bQ/edit?usp=share_link"",""สุราษฎร์ธานี!L303"")"),412000)</f>
        <v>412000</v>
      </c>
      <c r="M303" s="45">
        <f ca="1">IFERROR(__xludf.DUMMYFUNCTION("IMPORTRANGE(""https://docs.google.com/spreadsheets/d/1kC41EOXpGBFOW658Fs3oD8beYlym0-zO54WY-2Qnp9I/edit?usp=share_link"",""กระบี่!M303"")
+IMPORTRANGE(""https://docs.google.com/spreadsheets/d/1FbzMZY_f3MDiEuK7RpCQKrilJ_kpX0Wm7QBZ1L7EjIU/edit?usp=share_link"&amp;""",""ชุมพร!M303"")+IMPORTRANGE(""https://docs.google.com/spreadsheets/d/1v5sN-00LrXuhBxw4dkh2GrG_z4l5oAqOdJRBCsUyMaM/edit?usp=share_link"",""ตรัง!M303"")+IMPORTRANGE(""https://docs.google.com/spreadsheets/d/1T5rRTzFc79aSIvqnzkZNvwPstq829QYz_xALlO1Z0s8/edi"&amp;"t?usp=share_link"",""นครศรีธรรมราช!M303"")+IMPORTRANGE(""https://docs.google.com/spreadsheets/d/1BeghqumK0IvCmRd2QOy6_afsZq7ZtAGrSnVJy2u7WmY/edit?usp=share_link"",""นราธิวาส!M303"")+IMPORTRANGE(""https://docs.google.com/spreadsheets/d/1IwnW3-jjRf74MCLW-6P"&amp;"iFwMUffRQXZwZA7YM609NmRc/edit?usp=share_link"",""ปัตตานี!M303"")+IMPORTRANGE(""https://docs.google.com/spreadsheets/d/1vl4QWbWdFruual5o_wdo6ZSqXZ_it806oja4CctTLKs/edit?usp=share_link"",""พังงา!M303"")+IMPORTRANGE(""https://docs.google.com/spreadsheets/d/1"&amp;"b6QssHQp2FoAPSMKHOy273KNzAomaIKhtdlvuZ_zDNE/edit?usp=share_link"",""พัทลุง!M303"")+IMPORTRANGE(""https://docs.google.com/spreadsheets/d/1o7UZe4_OqlqtLDHrj01Z2YFRSZDf1DMy1n3XViHaxRc/edit?usp=share_link"",""ภูเก็ต!M303"")+IMPORTRANGE(""https://docs.google.c"&amp;"om/spreadsheets/d/1ctPm1vUzcUCPuOj9-eoHUD85PqINFqUB0TjdSWmR5-c/edit?usp=share_link"",""ยะลา!M303"")+IMPORTRANGE(""https://docs.google.com/spreadsheets/d/1YiDIE7Klmt8osgdapRqYWNr7iPGFSsiJqq46S7PYRE0/edit?usp=share_link"",""ระนอง!M303"")+IMPORTRANGE(""https"&amp;"://docs.google.com/spreadsheets/d/16o_4B-V7AWw_6E93bSpXj_XxVv1oVQctk-B6z1dNEWU/edit?usp=share_link"",""สงขลา!M303"")+IMPORTRANGE(""https://docs.google.com/spreadsheets/d/16cywr71Fj4fA5OGRHsZh30ZG2gwJhMAQv69oVBzYHv0/edit?usp=share_link"",""สตูล!M303"")+IMP"&amp;"ORTRANGE(""https://docs.google.com/spreadsheets/d/1vO9Sws6kMtrVtyvrAJptINXjK8TFBoX9xLYOVK_C8bQ/edit?usp=share_link"",""สุราษฎร์ธานี!M303"")"),412000)</f>
        <v>412000</v>
      </c>
      <c r="N303" s="45">
        <f ca="1">IFERROR(__xludf.DUMMYFUNCTION("IMPORTRANGE(""https://docs.google.com/spreadsheets/d/1kC41EOXpGBFOW658Fs3oD8beYlym0-zO54WY-2Qnp9I/edit?usp=share_link"",""กระบี่!N303"")
+IMPORTRANGE(""https://docs.google.com/spreadsheets/d/1FbzMZY_f3MDiEuK7RpCQKrilJ_kpX0Wm7QBZ1L7EjIU/edit?usp=share_link"&amp;""",""ชุมพร!N303"")+IMPORTRANGE(""https://docs.google.com/spreadsheets/d/1v5sN-00LrXuhBxw4dkh2GrG_z4l5oAqOdJRBCsUyMaM/edit?usp=share_link"",""ตรัง!N303"")+IMPORTRANGE(""https://docs.google.com/spreadsheets/d/1T5rRTzFc79aSIvqnzkZNvwPstq829QYz_xALlO1Z0s8/edi"&amp;"t?usp=share_link"",""นครศรีธรรมราช!N303"")+IMPORTRANGE(""https://docs.google.com/spreadsheets/d/1BeghqumK0IvCmRd2QOy6_afsZq7ZtAGrSnVJy2u7WmY/edit?usp=share_link"",""นราธิวาส!N303"")+IMPORTRANGE(""https://docs.google.com/spreadsheets/d/1IwnW3-jjRf74MCLW-6P"&amp;"iFwMUffRQXZwZA7YM609NmRc/edit?usp=share_link"",""ปัตตานี!N303"")+IMPORTRANGE(""https://docs.google.com/spreadsheets/d/1vl4QWbWdFruual5o_wdo6ZSqXZ_it806oja4CctTLKs/edit?usp=share_link"",""พังงา!N303"")+IMPORTRANGE(""https://docs.google.com/spreadsheets/d/1"&amp;"b6QssHQp2FoAPSMKHOy273KNzAomaIKhtdlvuZ_zDNE/edit?usp=share_link"",""พัทลุง!N303"")+IMPORTRANGE(""https://docs.google.com/spreadsheets/d/1o7UZe4_OqlqtLDHrj01Z2YFRSZDf1DMy1n3XViHaxRc/edit?usp=share_link"",""ภูเก็ต!N303"")+IMPORTRANGE(""https://docs.google.c"&amp;"om/spreadsheets/d/1ctPm1vUzcUCPuOj9-eoHUD85PqINFqUB0TjdSWmR5-c/edit?usp=share_link"",""ยะลา!N303"")+IMPORTRANGE(""https://docs.google.com/spreadsheets/d/1YiDIE7Klmt8osgdapRqYWNr7iPGFSsiJqq46S7PYRE0/edit?usp=share_link"",""ระนอง!N303"")+IMPORTRANGE(""https"&amp;"://docs.google.com/spreadsheets/d/16o_4B-V7AWw_6E93bSpXj_XxVv1oVQctk-B6z1dNEWU/edit?usp=share_link"",""สงขลา!N303"")+IMPORTRANGE(""https://docs.google.com/spreadsheets/d/16cywr71Fj4fA5OGRHsZh30ZG2gwJhMAQv69oVBzYHv0/edit?usp=share_link"",""สตูล!N303"")+IMP"&amp;"ORTRANGE(""https://docs.google.com/spreadsheets/d/1vO9Sws6kMtrVtyvrAJptINXjK8TFBoX9xLYOVK_C8bQ/edit?usp=share_link"",""สุราษฎร์ธานี!N303"")"),336942)</f>
        <v>336942</v>
      </c>
      <c r="O303" s="45">
        <f t="shared" ca="1" si="159"/>
        <v>81.78203883495145</v>
      </c>
      <c r="P303" s="45">
        <f t="shared" ca="1" si="160"/>
        <v>81.78203883495145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IFERROR(__xludf.DUMMYFUNCTION("IMPORTRANGE(""https://docs.google.com/spreadsheets/d/1kC41EOXpGBFOW658Fs3oD8beYlym0-zO54WY-2Qnp9I/edit?usp=share_link"",""กระบี่!L306"")
+IMPORTRANGE(""https://docs.google.com/spreadsheets/d/1FbzMZY_f3MDiEuK7RpCQKrilJ_kpX0Wm7QBZ1L7EjIU/edit?usp=share_link"&amp;""",""ชุมพร!L306"")+IMPORTRANGE(""https://docs.google.com/spreadsheets/d/1v5sN-00LrXuhBxw4dkh2GrG_z4l5oAqOdJRBCsUyMaM/edit?usp=share_link"",""ตรัง!L306"")+IMPORTRANGE(""https://docs.google.com/spreadsheets/d/1T5rRTzFc79aSIvqnzkZNvwPstq829QYz_xALlO1Z0s8/edi"&amp;"t?usp=share_link"",""นครศรีธรรมราช!L306"")+IMPORTRANGE(""https://docs.google.com/spreadsheets/d/1BeghqumK0IvCmRd2QOy6_afsZq7ZtAGrSnVJy2u7WmY/edit?usp=share_link"",""นราธิวาส!L306"")+IMPORTRANGE(""https://docs.google.com/spreadsheets/d/1IwnW3-jjRf74MCLW-6P"&amp;"iFwMUffRQXZwZA7YM609NmRc/edit?usp=share_link"",""ปัตตานี!L306"")+IMPORTRANGE(""https://docs.google.com/spreadsheets/d/1vl4QWbWdFruual5o_wdo6ZSqXZ_it806oja4CctTLKs/edit?usp=share_link"",""พังงา!L306"")+IMPORTRANGE(""https://docs.google.com/spreadsheets/d/1"&amp;"b6QssHQp2FoAPSMKHOy273KNzAomaIKhtdlvuZ_zDNE/edit?usp=share_link"",""พัทลุง!L306"")+IMPORTRANGE(""https://docs.google.com/spreadsheets/d/1o7UZe4_OqlqtLDHrj01Z2YFRSZDf1DMy1n3XViHaxRc/edit?usp=share_link"",""ภูเก็ต!L306"")+IMPORTRANGE(""https://docs.google.c"&amp;"om/spreadsheets/d/1ctPm1vUzcUCPuOj9-eoHUD85PqINFqUB0TjdSWmR5-c/edit?usp=share_link"",""ยะลา!L306"")+IMPORTRANGE(""https://docs.google.com/spreadsheets/d/1YiDIE7Klmt8osgdapRqYWNr7iPGFSsiJqq46S7PYRE0/edit?usp=share_link"",""ระนอง!L306"")+IMPORTRANGE(""https"&amp;"://docs.google.com/spreadsheets/d/16o_4B-V7AWw_6E93bSpXj_XxVv1oVQctk-B6z1dNEWU/edit?usp=share_link"",""สงขลา!L306"")+IMPORTRANGE(""https://docs.google.com/spreadsheets/d/16cywr71Fj4fA5OGRHsZh30ZG2gwJhMAQv69oVBzYHv0/edit?usp=share_link"",""สตูล!L306"")+IMP"&amp;"ORTRANGE(""https://docs.google.com/spreadsheets/d/1vO9Sws6kMtrVtyvrAJptINXjK8TFBoX9xLYOVK_C8bQ/edit?usp=share_link"",""สุราษฎร์ธานี!L306"")"),0)</f>
        <v>0</v>
      </c>
      <c r="M306" s="45">
        <f ca="1">IFERROR(__xludf.DUMMYFUNCTION("IMPORTRANGE(""https://docs.google.com/spreadsheets/d/1kC41EOXpGBFOW658Fs3oD8beYlym0-zO54WY-2Qnp9I/edit?usp=share_link"",""กระบี่!M306"")
+IMPORTRANGE(""https://docs.google.com/spreadsheets/d/1FbzMZY_f3MDiEuK7RpCQKrilJ_kpX0Wm7QBZ1L7EjIU/edit?usp=share_link"&amp;""",""ชุมพร!M306"")+IMPORTRANGE(""https://docs.google.com/spreadsheets/d/1v5sN-00LrXuhBxw4dkh2GrG_z4l5oAqOdJRBCsUyMaM/edit?usp=share_link"",""ตรัง!M306"")+IMPORTRANGE(""https://docs.google.com/spreadsheets/d/1T5rRTzFc79aSIvqnzkZNvwPstq829QYz_xALlO1Z0s8/edi"&amp;"t?usp=share_link"",""นครศรีธรรมราช!M306"")+IMPORTRANGE(""https://docs.google.com/spreadsheets/d/1BeghqumK0IvCmRd2QOy6_afsZq7ZtAGrSnVJy2u7WmY/edit?usp=share_link"",""นราธิวาส!M306"")+IMPORTRANGE(""https://docs.google.com/spreadsheets/d/1IwnW3-jjRf74MCLW-6P"&amp;"iFwMUffRQXZwZA7YM609NmRc/edit?usp=share_link"",""ปัตตานี!M306"")+IMPORTRANGE(""https://docs.google.com/spreadsheets/d/1vl4QWbWdFruual5o_wdo6ZSqXZ_it806oja4CctTLKs/edit?usp=share_link"",""พังงา!M306"")+IMPORTRANGE(""https://docs.google.com/spreadsheets/d/1"&amp;"b6QssHQp2FoAPSMKHOy273KNzAomaIKhtdlvuZ_zDNE/edit?usp=share_link"",""พัทลุง!M306"")+IMPORTRANGE(""https://docs.google.com/spreadsheets/d/1o7UZe4_OqlqtLDHrj01Z2YFRSZDf1DMy1n3XViHaxRc/edit?usp=share_link"",""ภูเก็ต!M306"")+IMPORTRANGE(""https://docs.google.c"&amp;"om/spreadsheets/d/1ctPm1vUzcUCPuOj9-eoHUD85PqINFqUB0TjdSWmR5-c/edit?usp=share_link"",""ยะลา!M306"")+IMPORTRANGE(""https://docs.google.com/spreadsheets/d/1YiDIE7Klmt8osgdapRqYWNr7iPGFSsiJqq46S7PYRE0/edit?usp=share_link"",""ระนอง!M306"")+IMPORTRANGE(""https"&amp;"://docs.google.com/spreadsheets/d/16o_4B-V7AWw_6E93bSpXj_XxVv1oVQctk-B6z1dNEWU/edit?usp=share_link"",""สงขลา!M306"")+IMPORTRANGE(""https://docs.google.com/spreadsheets/d/16cywr71Fj4fA5OGRHsZh30ZG2gwJhMAQv69oVBzYHv0/edit?usp=share_link"",""สตูล!M306"")+IMP"&amp;"ORTRANGE(""https://docs.google.com/spreadsheets/d/1vO9Sws6kMtrVtyvrAJptINXjK8TFBoX9xLYOVK_C8bQ/edit?usp=share_link"",""สุราษฎร์ธานี!M306"")"),0)</f>
        <v>0</v>
      </c>
      <c r="N306" s="45">
        <f ca="1">IFERROR(__xludf.DUMMYFUNCTION("IMPORTRANGE(""https://docs.google.com/spreadsheets/d/1kC41EOXpGBFOW658Fs3oD8beYlym0-zO54WY-2Qnp9I/edit?usp=share_link"",""กระบี่!N306"")
+IMPORTRANGE(""https://docs.google.com/spreadsheets/d/1FbzMZY_f3MDiEuK7RpCQKrilJ_kpX0Wm7QBZ1L7EjIU/edit?usp=share_link"&amp;""",""ชุมพร!N306"")+IMPORTRANGE(""https://docs.google.com/spreadsheets/d/1v5sN-00LrXuhBxw4dkh2GrG_z4l5oAqOdJRBCsUyMaM/edit?usp=share_link"",""ตรัง!N306"")+IMPORTRANGE(""https://docs.google.com/spreadsheets/d/1T5rRTzFc79aSIvqnzkZNvwPstq829QYz_xALlO1Z0s8/edi"&amp;"t?usp=share_link"",""นครศรีธรรมราช!N306"")+IMPORTRANGE(""https://docs.google.com/spreadsheets/d/1BeghqumK0IvCmRd2QOy6_afsZq7ZtAGrSnVJy2u7WmY/edit?usp=share_link"",""นราธิวาส!N306"")+IMPORTRANGE(""https://docs.google.com/spreadsheets/d/1IwnW3-jjRf74MCLW-6P"&amp;"iFwMUffRQXZwZA7YM609NmRc/edit?usp=share_link"",""ปัตตานี!N306"")+IMPORTRANGE(""https://docs.google.com/spreadsheets/d/1vl4QWbWdFruual5o_wdo6ZSqXZ_it806oja4CctTLKs/edit?usp=share_link"",""พังงา!N306"")+IMPORTRANGE(""https://docs.google.com/spreadsheets/d/1"&amp;"b6QssHQp2FoAPSMKHOy273KNzAomaIKhtdlvuZ_zDNE/edit?usp=share_link"",""พัทลุง!N306"")+IMPORTRANGE(""https://docs.google.com/spreadsheets/d/1o7UZe4_OqlqtLDHrj01Z2YFRSZDf1DMy1n3XViHaxRc/edit?usp=share_link"",""ภูเก็ต!N306"")+IMPORTRANGE(""https://docs.google.c"&amp;"om/spreadsheets/d/1ctPm1vUzcUCPuOj9-eoHUD85PqINFqUB0TjdSWmR5-c/edit?usp=share_link"",""ยะลา!N306"")+IMPORTRANGE(""https://docs.google.com/spreadsheets/d/1YiDIE7Klmt8osgdapRqYWNr7iPGFSsiJqq46S7PYRE0/edit?usp=share_link"",""ระนอง!N306"")+IMPORTRANGE(""https"&amp;"://docs.google.com/spreadsheets/d/16o_4B-V7AWw_6E93bSpXj_XxVv1oVQctk-B6z1dNEWU/edit?usp=share_link"",""สงขลา!N306"")+IMPORTRANGE(""https://docs.google.com/spreadsheets/d/16cywr71Fj4fA5OGRHsZh30ZG2gwJhMAQv69oVBzYHv0/edit?usp=share_link"",""สตูล!N306"")+IMP"&amp;"ORTRANGE(""https://docs.google.com/spreadsheets/d/1vO9Sws6kMtrVtyvrAJptINXjK8TFBoX9xLYOVK_C8bQ/edit?usp=share_link"",""สุราษฎร์ธานี!N306"")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8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IFERROR(__xludf.DUMMYFUNCTION("IMPORTRANGE(""https://docs.google.com/spreadsheets/d/1kC41EOXpGBFOW658Fs3oD8beYlym0-zO54WY-2Qnp9I/edit?usp=share_link"",""กระบี่!J308"")
+IMPORTRANGE(""https://docs.google.com/spreadsheets/d/1FbzMZY_f3MDiEuK7RpCQKrilJ_kpX0Wm7QBZ1L7EjIU/edit?usp=share_link"&amp;""",""ชุมพร!J308"")+IMPORTRANGE(""https://docs.google.com/spreadsheets/d/1v5sN-00LrXuhBxw4dkh2GrG_z4l5oAqOdJRBCsUyMaM/edit?usp=share_link"",""ตรัง!J308"")+IMPORTRANGE(""https://docs.google.com/spreadsheets/d/1T5rRTzFc79aSIvqnzkZNvwPstq829QYz_xALlO1Z0s8/edi"&amp;"t?usp=share_link"",""นครศรีธรรมราช!J308"")+IMPORTRANGE(""https://docs.google.com/spreadsheets/d/1BeghqumK0IvCmRd2QOy6_afsZq7ZtAGrSnVJy2u7WmY/edit?usp=share_link"",""นราธิวาส!J308"")+IMPORTRANGE(""https://docs.google.com/spreadsheets/d/1IwnW3-jjRf74MCLW-6P"&amp;"iFwMUffRQXZwZA7YM609NmRc/edit?usp=share_link"",""ปัตตานี!J308"")+IMPORTRANGE(""https://docs.google.com/spreadsheets/d/1vl4QWbWdFruual5o_wdo6ZSqXZ_it806oja4CctTLKs/edit?usp=share_link"",""พังงา!J308"")+IMPORTRANGE(""https://docs.google.com/spreadsheets/d/1"&amp;"b6QssHQp2FoAPSMKHOy273KNzAomaIKhtdlvuZ_zDNE/edit?usp=share_link"",""พัทลุง!J308"")+IMPORTRANGE(""https://docs.google.com/spreadsheets/d/1o7UZe4_OqlqtLDHrj01Z2YFRSZDf1DMy1n3XViHaxRc/edit?usp=share_link"",""ภูเก็ต!J308"")+IMPORTRANGE(""https://docs.google.c"&amp;"om/spreadsheets/d/1ctPm1vUzcUCPuOj9-eoHUD85PqINFqUB0TjdSWmR5-c/edit?usp=share_link"",""ยะลา!J308"")+IMPORTRANGE(""https://docs.google.com/spreadsheets/d/1YiDIE7Klmt8osgdapRqYWNr7iPGFSsiJqq46S7PYRE0/edit?usp=share_link"",""ระนอง!J308"")+IMPORTRANGE(""https"&amp;"://docs.google.com/spreadsheets/d/16o_4B-V7AWw_6E93bSpXj_XxVv1oVQctk-B6z1dNEWU/edit?usp=share_link"",""สงขลา!J308"")+IMPORTRANGE(""https://docs.google.com/spreadsheets/d/16cywr71Fj4fA5OGRHsZh30ZG2gwJhMAQv69oVBzYHv0/edit?usp=share_link"",""สตูล!J308"")+IMP"&amp;"ORTRANGE(""https://docs.google.com/spreadsheets/d/1vO9Sws6kMtrVtyvrAJptINXjK8TFBoX9xLYOVK_C8bQ/edit?usp=share_link"",""สุราษฎร์ธานี!J308"")"),3)</f>
        <v>3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IFERROR(__xludf.DUMMYFUNCTION("IMPORTRANGE(""https://docs.google.com/spreadsheets/d/1kC41EOXpGBFOW658Fs3oD8beYlym0-zO54WY-2Qnp9I/edit?usp=share_link"",""กระบี่!I309"")
+IMPORTRANGE(""https://docs.google.com/spreadsheets/d/1FbzMZY_f3MDiEuK7RpCQKrilJ_kpX0Wm7QBZ1L7EjIU/edit?usp=share_link"&amp;""",""ชุมพร!I309"")+IMPORTRANGE(""https://docs.google.com/spreadsheets/d/1v5sN-00LrXuhBxw4dkh2GrG_z4l5oAqOdJRBCsUyMaM/edit?usp=share_link"",""ตรัง!I309"")+IMPORTRANGE(""https://docs.google.com/spreadsheets/d/1T5rRTzFc79aSIvqnzkZNvwPstq829QYz_xALlO1Z0s8/edi"&amp;"t?usp=share_link"",""นครศรีธรรมราช!I309"")+IMPORTRANGE(""https://docs.google.com/spreadsheets/d/1BeghqumK0IvCmRd2QOy6_afsZq7ZtAGrSnVJy2u7WmY/edit?usp=share_link"",""นราธิวาส!I309"")+IMPORTRANGE(""https://docs.google.com/spreadsheets/d/1IwnW3-jjRf74MCLW-6P"&amp;"iFwMUffRQXZwZA7YM609NmRc/edit?usp=share_link"",""ปัตตานี!I309"")+IMPORTRANGE(""https://docs.google.com/spreadsheets/d/1vl4QWbWdFruual5o_wdo6ZSqXZ_it806oja4CctTLKs/edit?usp=share_link"",""พังงา!I309"")+IMPORTRANGE(""https://docs.google.com/spreadsheets/d/1"&amp;"b6QssHQp2FoAPSMKHOy273KNzAomaIKhtdlvuZ_zDNE/edit?usp=share_link"",""พัทลุง!I309"")+IMPORTRANGE(""https://docs.google.com/spreadsheets/d/1o7UZe4_OqlqtLDHrj01Z2YFRSZDf1DMy1n3XViHaxRc/edit?usp=share_link"",""ภูเก็ต!I309"")+IMPORTRANGE(""https://docs.google.c"&amp;"om/spreadsheets/d/1ctPm1vUzcUCPuOj9-eoHUD85PqINFqUB0TjdSWmR5-c/edit?usp=share_link"",""ยะลา!I309"")+IMPORTRANGE(""https://docs.google.com/spreadsheets/d/1YiDIE7Klmt8osgdapRqYWNr7iPGFSsiJqq46S7PYRE0/edit?usp=share_link"",""ระนอง!I309"")+IMPORTRANGE(""https"&amp;"://docs.google.com/spreadsheets/d/16o_4B-V7AWw_6E93bSpXj_XxVv1oVQctk-B6z1dNEWU/edit?usp=share_link"",""สงขลา!I309"")+IMPORTRANGE(""https://docs.google.com/spreadsheets/d/16cywr71Fj4fA5OGRHsZh30ZG2gwJhMAQv69oVBzYHv0/edit?usp=share_link"",""สตูล!I309"")+IMP"&amp;"ORTRANGE(""https://docs.google.com/spreadsheets/d/1vO9Sws6kMtrVtyvrAJptINXjK8TFBoX9xLYOVK_C8bQ/edit?usp=share_link"",""สุราษฎร์ธานี!I309"")"),100)</f>
        <v>100</v>
      </c>
      <c r="J309" s="183">
        <f ca="1">IFERROR(__xludf.DUMMYFUNCTION("IMPORTRANGE(""https://docs.google.com/spreadsheets/d/1kC41EOXpGBFOW658Fs3oD8beYlym0-zO54WY-2Qnp9I/edit?usp=share_link"",""กระบี่!J309"")
+IMPORTRANGE(""https://docs.google.com/spreadsheets/d/1FbzMZY_f3MDiEuK7RpCQKrilJ_kpX0Wm7QBZ1L7EjIU/edit?usp=share_link"&amp;""",""ชุมพร!J309"")+IMPORTRANGE(""https://docs.google.com/spreadsheets/d/1v5sN-00LrXuhBxw4dkh2GrG_z4l5oAqOdJRBCsUyMaM/edit?usp=share_link"",""ตรัง!J309"")+IMPORTRANGE(""https://docs.google.com/spreadsheets/d/1T5rRTzFc79aSIvqnzkZNvwPstq829QYz_xALlO1Z0s8/edi"&amp;"t?usp=share_link"",""นครศรีธรรมราช!J309"")+IMPORTRANGE(""https://docs.google.com/spreadsheets/d/1BeghqumK0IvCmRd2QOy6_afsZq7ZtAGrSnVJy2u7WmY/edit?usp=share_link"",""นราธิวาส!J309"")+IMPORTRANGE(""https://docs.google.com/spreadsheets/d/1IwnW3-jjRf74MCLW-6P"&amp;"iFwMUffRQXZwZA7YM609NmRc/edit?usp=share_link"",""ปัตตานี!J309"")+IMPORTRANGE(""https://docs.google.com/spreadsheets/d/1vl4QWbWdFruual5o_wdo6ZSqXZ_it806oja4CctTLKs/edit?usp=share_link"",""พังงา!J309"")+IMPORTRANGE(""https://docs.google.com/spreadsheets/d/1"&amp;"b6QssHQp2FoAPSMKHOy273KNzAomaIKhtdlvuZ_zDNE/edit?usp=share_link"",""พัทลุง!J309"")+IMPORTRANGE(""https://docs.google.com/spreadsheets/d/1o7UZe4_OqlqtLDHrj01Z2YFRSZDf1DMy1n3XViHaxRc/edit?usp=share_link"",""ภูเก็ต!J309"")+IMPORTRANGE(""https://docs.google.c"&amp;"om/spreadsheets/d/1ctPm1vUzcUCPuOj9-eoHUD85PqINFqUB0TjdSWmR5-c/edit?usp=share_link"",""ยะลา!J309"")+IMPORTRANGE(""https://docs.google.com/spreadsheets/d/1YiDIE7Klmt8osgdapRqYWNr7iPGFSsiJqq46S7PYRE0/edit?usp=share_link"",""ระนอง!J309"")+IMPORTRANGE(""https"&amp;"://docs.google.com/spreadsheets/d/16o_4B-V7AWw_6E93bSpXj_XxVv1oVQctk-B6z1dNEWU/edit?usp=share_link"",""สงขลา!J309"")+IMPORTRANGE(""https://docs.google.com/spreadsheets/d/16cywr71Fj4fA5OGRHsZh30ZG2gwJhMAQv69oVBzYHv0/edit?usp=share_link"",""สตูล!J309"")+IMP"&amp;"ORTRANGE(""https://docs.google.com/spreadsheets/d/1vO9Sws6kMtrVtyvrAJptINXjK8TFBoX9xLYOVK_C8bQ/edit?usp=share_link"",""สุราษฎร์ธานี!J309"")"),100)</f>
        <v>100</v>
      </c>
      <c r="K309" s="38">
        <f t="shared" ref="K309:K312" ca="1" si="165">IF(I309&gt;0,J309*100/I309,0)</f>
        <v>100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8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IFERROR(__xludf.DUMMYFUNCTION("IMPORTRANGE(""https://docs.google.com/spreadsheets/d/1kC41EOXpGBFOW658Fs3oD8beYlym0-zO54WY-2Qnp9I/edit?usp=share_link"",""กระบี่!I310"")
+IMPORTRANGE(""https://docs.google.com/spreadsheets/d/1FbzMZY_f3MDiEuK7RpCQKrilJ_kpX0Wm7QBZ1L7EjIU/edit?usp=share_link"&amp;""",""ชุมพร!I310"")+IMPORTRANGE(""https://docs.google.com/spreadsheets/d/1v5sN-00LrXuhBxw4dkh2GrG_z4l5oAqOdJRBCsUyMaM/edit?usp=share_link"",""ตรัง!I310"")+IMPORTRANGE(""https://docs.google.com/spreadsheets/d/1T5rRTzFc79aSIvqnzkZNvwPstq829QYz_xALlO1Z0s8/edi"&amp;"t?usp=share_link"",""นครศรีธรรมราช!I310"")+IMPORTRANGE(""https://docs.google.com/spreadsheets/d/1BeghqumK0IvCmRd2QOy6_afsZq7ZtAGrSnVJy2u7WmY/edit?usp=share_link"",""นราธิวาส!I310"")+IMPORTRANGE(""https://docs.google.com/spreadsheets/d/1IwnW3-jjRf74MCLW-6P"&amp;"iFwMUffRQXZwZA7YM609NmRc/edit?usp=share_link"",""ปัตตานี!I310"")+IMPORTRANGE(""https://docs.google.com/spreadsheets/d/1vl4QWbWdFruual5o_wdo6ZSqXZ_it806oja4CctTLKs/edit?usp=share_link"",""พังงา!I310"")+IMPORTRANGE(""https://docs.google.com/spreadsheets/d/1"&amp;"b6QssHQp2FoAPSMKHOy273KNzAomaIKhtdlvuZ_zDNE/edit?usp=share_link"",""พัทลุง!I310"")+IMPORTRANGE(""https://docs.google.com/spreadsheets/d/1o7UZe4_OqlqtLDHrj01Z2YFRSZDf1DMy1n3XViHaxRc/edit?usp=share_link"",""ภูเก็ต!I310"")+IMPORTRANGE(""https://docs.google.c"&amp;"om/spreadsheets/d/1ctPm1vUzcUCPuOj9-eoHUD85PqINFqUB0TjdSWmR5-c/edit?usp=share_link"",""ยะลา!I310"")+IMPORTRANGE(""https://docs.google.com/spreadsheets/d/1YiDIE7Klmt8osgdapRqYWNr7iPGFSsiJqq46S7PYRE0/edit?usp=share_link"",""ระนอง!I310"")+IMPORTRANGE(""https"&amp;"://docs.google.com/spreadsheets/d/16o_4B-V7AWw_6E93bSpXj_XxVv1oVQctk-B6z1dNEWU/edit?usp=share_link"",""สงขลา!I310"")+IMPORTRANGE(""https://docs.google.com/spreadsheets/d/16cywr71Fj4fA5OGRHsZh30ZG2gwJhMAQv69oVBzYHv0/edit?usp=share_link"",""สตูล!I310"")+IMP"&amp;"ORTRANGE(""https://docs.google.com/spreadsheets/d/1vO9Sws6kMtrVtyvrAJptINXjK8TFBoX9xLYOVK_C8bQ/edit?usp=share_link"",""สุราษฎร์ธานี!I310"")"),100)</f>
        <v>100</v>
      </c>
      <c r="J310" s="183">
        <f ca="1">IFERROR(__xludf.DUMMYFUNCTION("IMPORTRANGE(""https://docs.google.com/spreadsheets/d/1kC41EOXpGBFOW658Fs3oD8beYlym0-zO54WY-2Qnp9I/edit?usp=share_link"",""กระบี่!J310"")
+IMPORTRANGE(""https://docs.google.com/spreadsheets/d/1FbzMZY_f3MDiEuK7RpCQKrilJ_kpX0Wm7QBZ1L7EjIU/edit?usp=share_link"&amp;""",""ชุมพร!J310"")+IMPORTRANGE(""https://docs.google.com/spreadsheets/d/1v5sN-00LrXuhBxw4dkh2GrG_z4l5oAqOdJRBCsUyMaM/edit?usp=share_link"",""ตรัง!J310"")+IMPORTRANGE(""https://docs.google.com/spreadsheets/d/1T5rRTzFc79aSIvqnzkZNvwPstq829QYz_xALlO1Z0s8/edi"&amp;"t?usp=share_link"",""นครศรีธรรมราช!J310"")+IMPORTRANGE(""https://docs.google.com/spreadsheets/d/1BeghqumK0IvCmRd2QOy6_afsZq7ZtAGrSnVJy2u7WmY/edit?usp=share_link"",""นราธิวาส!J310"")+IMPORTRANGE(""https://docs.google.com/spreadsheets/d/1IwnW3-jjRf74MCLW-6P"&amp;"iFwMUffRQXZwZA7YM609NmRc/edit?usp=share_link"",""ปัตตานี!J310"")+IMPORTRANGE(""https://docs.google.com/spreadsheets/d/1vl4QWbWdFruual5o_wdo6ZSqXZ_it806oja4CctTLKs/edit?usp=share_link"",""พังงา!J310"")+IMPORTRANGE(""https://docs.google.com/spreadsheets/d/1"&amp;"b6QssHQp2FoAPSMKHOy273KNzAomaIKhtdlvuZ_zDNE/edit?usp=share_link"",""พัทลุง!J310"")+IMPORTRANGE(""https://docs.google.com/spreadsheets/d/1o7UZe4_OqlqtLDHrj01Z2YFRSZDf1DMy1n3XViHaxRc/edit?usp=share_link"",""ภูเก็ต!J310"")+IMPORTRANGE(""https://docs.google.c"&amp;"om/spreadsheets/d/1ctPm1vUzcUCPuOj9-eoHUD85PqINFqUB0TjdSWmR5-c/edit?usp=share_link"",""ยะลา!J310"")+IMPORTRANGE(""https://docs.google.com/spreadsheets/d/1YiDIE7Klmt8osgdapRqYWNr7iPGFSsiJqq46S7PYRE0/edit?usp=share_link"",""ระนอง!J310"")+IMPORTRANGE(""https"&amp;"://docs.google.com/spreadsheets/d/16o_4B-V7AWw_6E93bSpXj_XxVv1oVQctk-B6z1dNEWU/edit?usp=share_link"",""สงขลา!J310"")+IMPORTRANGE(""https://docs.google.com/spreadsheets/d/16cywr71Fj4fA5OGRHsZh30ZG2gwJhMAQv69oVBzYHv0/edit?usp=share_link"",""สตูล!J310"")+IMP"&amp;"ORTRANGE(""https://docs.google.com/spreadsheets/d/1vO9Sws6kMtrVtyvrAJptINXjK8TFBoX9xLYOVK_C8bQ/edit?usp=share_link"",""สุราษฎร์ธานี!J310"")"),80)</f>
        <v>80</v>
      </c>
      <c r="K310" s="38">
        <f t="shared" ca="1" si="165"/>
        <v>80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8" t="s">
        <v>59</v>
      </c>
      <c r="E311" s="177"/>
      <c r="F311" s="177"/>
      <c r="G311" s="179"/>
      <c r="H311" s="449" t="s">
        <v>35</v>
      </c>
      <c r="I311" s="37">
        <f ca="1">IFERROR(__xludf.DUMMYFUNCTION("IMPORTRANGE(""https://docs.google.com/spreadsheets/d/1kC41EOXpGBFOW658Fs3oD8beYlym0-zO54WY-2Qnp9I/edit?usp=share_link"",""กระบี่!I311"")
+IMPORTRANGE(""https://docs.google.com/spreadsheets/d/1FbzMZY_f3MDiEuK7RpCQKrilJ_kpX0Wm7QBZ1L7EjIU/edit?usp=share_link"&amp;""",""ชุมพร!I311"")+IMPORTRANGE(""https://docs.google.com/spreadsheets/d/1v5sN-00LrXuhBxw4dkh2GrG_z4l5oAqOdJRBCsUyMaM/edit?usp=share_link"",""ตรัง!I311"")+IMPORTRANGE(""https://docs.google.com/spreadsheets/d/1T5rRTzFc79aSIvqnzkZNvwPstq829QYz_xALlO1Z0s8/edi"&amp;"t?usp=share_link"",""นครศรีธรรมราช!I311"")+IMPORTRANGE(""https://docs.google.com/spreadsheets/d/1BeghqumK0IvCmRd2QOy6_afsZq7ZtAGrSnVJy2u7WmY/edit?usp=share_link"",""นราธิวาส!I311"")+IMPORTRANGE(""https://docs.google.com/spreadsheets/d/1IwnW3-jjRf74MCLW-6P"&amp;"iFwMUffRQXZwZA7YM609NmRc/edit?usp=share_link"",""ปัตตานี!I311"")+IMPORTRANGE(""https://docs.google.com/spreadsheets/d/1vl4QWbWdFruual5o_wdo6ZSqXZ_it806oja4CctTLKs/edit?usp=share_link"",""พังงา!I311"")+IMPORTRANGE(""https://docs.google.com/spreadsheets/d/1"&amp;"b6QssHQp2FoAPSMKHOy273KNzAomaIKhtdlvuZ_zDNE/edit?usp=share_link"",""พัทลุง!I311"")+IMPORTRANGE(""https://docs.google.com/spreadsheets/d/1o7UZe4_OqlqtLDHrj01Z2YFRSZDf1DMy1n3XViHaxRc/edit?usp=share_link"",""ภูเก็ต!I311"")+IMPORTRANGE(""https://docs.google.c"&amp;"om/spreadsheets/d/1ctPm1vUzcUCPuOj9-eoHUD85PqINFqUB0TjdSWmR5-c/edit?usp=share_link"",""ยะลา!I311"")+IMPORTRANGE(""https://docs.google.com/spreadsheets/d/1YiDIE7Klmt8osgdapRqYWNr7iPGFSsiJqq46S7PYRE0/edit?usp=share_link"",""ระนอง!I311"")+IMPORTRANGE(""https"&amp;"://docs.google.com/spreadsheets/d/16o_4B-V7AWw_6E93bSpXj_XxVv1oVQctk-B6z1dNEWU/edit?usp=share_link"",""สงขลา!I311"")+IMPORTRANGE(""https://docs.google.com/spreadsheets/d/16cywr71Fj4fA5OGRHsZh30ZG2gwJhMAQv69oVBzYHv0/edit?usp=share_link"",""สตูล!I311"")+IMP"&amp;"ORTRANGE(""https://docs.google.com/spreadsheets/d/1vO9Sws6kMtrVtyvrAJptINXjK8TFBoX9xLYOVK_C8bQ/edit?usp=share_link"",""สุราษฎร์ธานี!I311"")"),100)</f>
        <v>100</v>
      </c>
      <c r="J311" s="183">
        <f ca="1">IFERROR(__xludf.DUMMYFUNCTION("IMPORTRANGE(""https://docs.google.com/spreadsheets/d/1kC41EOXpGBFOW658Fs3oD8beYlym0-zO54WY-2Qnp9I/edit?usp=share_link"",""กระบี่!J311"")
+IMPORTRANGE(""https://docs.google.com/spreadsheets/d/1FbzMZY_f3MDiEuK7RpCQKrilJ_kpX0Wm7QBZ1L7EjIU/edit?usp=share_link"&amp;""",""ชุมพร!J311"")+IMPORTRANGE(""https://docs.google.com/spreadsheets/d/1v5sN-00LrXuhBxw4dkh2GrG_z4l5oAqOdJRBCsUyMaM/edit?usp=share_link"",""ตรัง!J311"")+IMPORTRANGE(""https://docs.google.com/spreadsheets/d/1T5rRTzFc79aSIvqnzkZNvwPstq829QYz_xALlO1Z0s8/edi"&amp;"t?usp=share_link"",""นครศรีธรรมราช!J311"")+IMPORTRANGE(""https://docs.google.com/spreadsheets/d/1BeghqumK0IvCmRd2QOy6_afsZq7ZtAGrSnVJy2u7WmY/edit?usp=share_link"",""นราธิวาส!J311"")+IMPORTRANGE(""https://docs.google.com/spreadsheets/d/1IwnW3-jjRf74MCLW-6P"&amp;"iFwMUffRQXZwZA7YM609NmRc/edit?usp=share_link"",""ปัตตานี!J311"")+IMPORTRANGE(""https://docs.google.com/spreadsheets/d/1vl4QWbWdFruual5o_wdo6ZSqXZ_it806oja4CctTLKs/edit?usp=share_link"",""พังงา!J311"")+IMPORTRANGE(""https://docs.google.com/spreadsheets/d/1"&amp;"b6QssHQp2FoAPSMKHOy273KNzAomaIKhtdlvuZ_zDNE/edit?usp=share_link"",""พัทลุง!J311"")+IMPORTRANGE(""https://docs.google.com/spreadsheets/d/1o7UZe4_OqlqtLDHrj01Z2YFRSZDf1DMy1n3XViHaxRc/edit?usp=share_link"",""ภูเก็ต!J311"")+IMPORTRANGE(""https://docs.google.c"&amp;"om/spreadsheets/d/1ctPm1vUzcUCPuOj9-eoHUD85PqINFqUB0TjdSWmR5-c/edit?usp=share_link"",""ยะลา!J311"")+IMPORTRANGE(""https://docs.google.com/spreadsheets/d/1YiDIE7Klmt8osgdapRqYWNr7iPGFSsiJqq46S7PYRE0/edit?usp=share_link"",""ระนอง!J311"")+IMPORTRANGE(""https"&amp;"://docs.google.com/spreadsheets/d/16o_4B-V7AWw_6E93bSpXj_XxVv1oVQctk-B6z1dNEWU/edit?usp=share_link"",""สงขลา!J311"")+IMPORTRANGE(""https://docs.google.com/spreadsheets/d/16cywr71Fj4fA5OGRHsZh30ZG2gwJhMAQv69oVBzYHv0/edit?usp=share_link"",""สตูล!J311"")+IMP"&amp;"ORTRANGE(""https://docs.google.com/spreadsheets/d/1vO9Sws6kMtrVtyvrAJptINXjK8TFBoX9xLYOVK_C8bQ/edit?usp=share_link"",""สุราษฎร์ธานี!J311"")"),20)</f>
        <v>20</v>
      </c>
      <c r="K311" s="38">
        <f t="shared" ca="1" si="165"/>
        <v>20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8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IFERROR(__xludf.DUMMYFUNCTION("IMPORTRANGE(""https://docs.google.com/spreadsheets/d/1kC41EOXpGBFOW658Fs3oD8beYlym0-zO54WY-2Qnp9I/edit?usp=share_link"",""กระบี่!I312"")
+IMPORTRANGE(""https://docs.google.com/spreadsheets/d/1FbzMZY_f3MDiEuK7RpCQKrilJ_kpX0Wm7QBZ1L7EjIU/edit?usp=share_link"&amp;""",""ชุมพร!I312"")+IMPORTRANGE(""https://docs.google.com/spreadsheets/d/1v5sN-00LrXuhBxw4dkh2GrG_z4l5oAqOdJRBCsUyMaM/edit?usp=share_link"",""ตรัง!I312"")+IMPORTRANGE(""https://docs.google.com/spreadsheets/d/1T5rRTzFc79aSIvqnzkZNvwPstq829QYz_xALlO1Z0s8/edi"&amp;"t?usp=share_link"",""นครศรีธรรมราช!I312"")+IMPORTRANGE(""https://docs.google.com/spreadsheets/d/1BeghqumK0IvCmRd2QOy6_afsZq7ZtAGrSnVJy2u7WmY/edit?usp=share_link"",""นราธิวาส!I312"")+IMPORTRANGE(""https://docs.google.com/spreadsheets/d/1IwnW3-jjRf74MCLW-6P"&amp;"iFwMUffRQXZwZA7YM609NmRc/edit?usp=share_link"",""ปัตตานี!I312"")+IMPORTRANGE(""https://docs.google.com/spreadsheets/d/1vl4QWbWdFruual5o_wdo6ZSqXZ_it806oja4CctTLKs/edit?usp=share_link"",""พังงา!I312"")+IMPORTRANGE(""https://docs.google.com/spreadsheets/d/1"&amp;"b6QssHQp2FoAPSMKHOy273KNzAomaIKhtdlvuZ_zDNE/edit?usp=share_link"",""พัทลุง!I312"")+IMPORTRANGE(""https://docs.google.com/spreadsheets/d/1o7UZe4_OqlqtLDHrj01Z2YFRSZDf1DMy1n3XViHaxRc/edit?usp=share_link"",""ภูเก็ต!I312"")+IMPORTRANGE(""https://docs.google.c"&amp;"om/spreadsheets/d/1ctPm1vUzcUCPuOj9-eoHUD85PqINFqUB0TjdSWmR5-c/edit?usp=share_link"",""ยะลา!I312"")+IMPORTRANGE(""https://docs.google.com/spreadsheets/d/1YiDIE7Klmt8osgdapRqYWNr7iPGFSsiJqq46S7PYRE0/edit?usp=share_link"",""ระนอง!I312"")+IMPORTRANGE(""https"&amp;"://docs.google.com/spreadsheets/d/16o_4B-V7AWw_6E93bSpXj_XxVv1oVQctk-B6z1dNEWU/edit?usp=share_link"",""สงขลา!I312"")+IMPORTRANGE(""https://docs.google.com/spreadsheets/d/16cywr71Fj4fA5OGRHsZh30ZG2gwJhMAQv69oVBzYHv0/edit?usp=share_link"",""สตูล!I312"")+IMP"&amp;"ORTRANGE(""https://docs.google.com/spreadsheets/d/1vO9Sws6kMtrVtyvrAJptINXjK8TFBoX9xLYOVK_C8bQ/edit?usp=share_link"",""สุราษฎร์ธานี!I312"")"),20)</f>
        <v>20</v>
      </c>
      <c r="J312" s="183">
        <f ca="1">IFERROR(__xludf.DUMMYFUNCTION("IMPORTRANGE(""https://docs.google.com/spreadsheets/d/1kC41EOXpGBFOW658Fs3oD8beYlym0-zO54WY-2Qnp9I/edit?usp=share_link"",""กระบี่!J312"")
+IMPORTRANGE(""https://docs.google.com/spreadsheets/d/1FbzMZY_f3MDiEuK7RpCQKrilJ_kpX0Wm7QBZ1L7EjIU/edit?usp=share_link"&amp;""",""ชุมพร!J312"")+IMPORTRANGE(""https://docs.google.com/spreadsheets/d/1v5sN-00LrXuhBxw4dkh2GrG_z4l5oAqOdJRBCsUyMaM/edit?usp=share_link"",""ตรัง!J312"")+IMPORTRANGE(""https://docs.google.com/spreadsheets/d/1T5rRTzFc79aSIvqnzkZNvwPstq829QYz_xALlO1Z0s8/edi"&amp;"t?usp=share_link"",""นครศรีธรรมราช!J312"")+IMPORTRANGE(""https://docs.google.com/spreadsheets/d/1BeghqumK0IvCmRd2QOy6_afsZq7ZtAGrSnVJy2u7WmY/edit?usp=share_link"",""นราธิวาส!J312"")+IMPORTRANGE(""https://docs.google.com/spreadsheets/d/1IwnW3-jjRf74MCLW-6P"&amp;"iFwMUffRQXZwZA7YM609NmRc/edit?usp=share_link"",""ปัตตานี!J312"")+IMPORTRANGE(""https://docs.google.com/spreadsheets/d/1vl4QWbWdFruual5o_wdo6ZSqXZ_it806oja4CctTLKs/edit?usp=share_link"",""พังงา!J312"")+IMPORTRANGE(""https://docs.google.com/spreadsheets/d/1"&amp;"b6QssHQp2FoAPSMKHOy273KNzAomaIKhtdlvuZ_zDNE/edit?usp=share_link"",""พัทลุง!J312"")+IMPORTRANGE(""https://docs.google.com/spreadsheets/d/1o7UZe4_OqlqtLDHrj01Z2YFRSZDf1DMy1n3XViHaxRc/edit?usp=share_link"",""ภูเก็ต!J312"")+IMPORTRANGE(""https://docs.google.c"&amp;"om/spreadsheets/d/1ctPm1vUzcUCPuOj9-eoHUD85PqINFqUB0TjdSWmR5-c/edit?usp=share_link"",""ยะลา!J312"")+IMPORTRANGE(""https://docs.google.com/spreadsheets/d/1YiDIE7Klmt8osgdapRqYWNr7iPGFSsiJqq46S7PYRE0/edit?usp=share_link"",""ระนอง!J312"")+IMPORTRANGE(""https"&amp;"://docs.google.com/spreadsheets/d/16o_4B-V7AWw_6E93bSpXj_XxVv1oVQctk-B6z1dNEWU/edit?usp=share_link"",""สงขลา!J312"")+IMPORTRANGE(""https://docs.google.com/spreadsheets/d/16cywr71Fj4fA5OGRHsZh30ZG2gwJhMAQv69oVBzYHv0/edit?usp=share_link"",""สตูล!J312"")+IMP"&amp;"ORTRANGE(""https://docs.google.com/spreadsheets/d/1vO9Sws6kMtrVtyvrAJptINXjK8TFBoX9xLYOVK_C8bQ/edit?usp=share_link"",""สุราษฎร์ธานี!J312"")"),8)</f>
        <v>8</v>
      </c>
      <c r="K312" s="38">
        <f t="shared" ca="1" si="165"/>
        <v>40</v>
      </c>
      <c r="L312" s="38"/>
      <c r="M312" s="38"/>
      <c r="N312" s="38"/>
      <c r="O312" s="38"/>
      <c r="P312" s="38"/>
    </row>
    <row r="313" spans="1:26" ht="20.25" customHeight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20.25" customHeight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66">I325</f>
        <v>5</v>
      </c>
      <c r="J314" s="445">
        <f t="shared" ca="1" si="166"/>
        <v>5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4641000</v>
      </c>
      <c r="M315" s="155">
        <f t="shared" ca="1" si="167"/>
        <v>4726341.1899999995</v>
      </c>
      <c r="N315" s="155">
        <f t="shared" ca="1" si="167"/>
        <v>4389819.5199999996</v>
      </c>
      <c r="O315" s="155">
        <f t="shared" ref="O315:O323" ca="1" si="168">IF(L315&gt;0,N315*100/L315,0)</f>
        <v>94.587794009911647</v>
      </c>
      <c r="P315" s="155">
        <f t="shared" ref="P315:P323" ca="1" si="169">IF(M315&gt;0,N315*100/M315,0)</f>
        <v>92.879869301183476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4641000</v>
      </c>
      <c r="M317" s="45">
        <f t="shared" ca="1" si="171"/>
        <v>4726341.1899999995</v>
      </c>
      <c r="N317" s="45">
        <f t="shared" ca="1" si="171"/>
        <v>4389819.5199999996</v>
      </c>
      <c r="O317" s="45">
        <f t="shared" ca="1" si="168"/>
        <v>94.587794009911647</v>
      </c>
      <c r="P317" s="45">
        <f t="shared" ca="1" si="169"/>
        <v>92.879869301183476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1041000</v>
      </c>
      <c r="M318" s="38">
        <f t="shared" ca="1" si="172"/>
        <v>1138900</v>
      </c>
      <c r="N318" s="38">
        <f t="shared" ca="1" si="172"/>
        <v>855998.33</v>
      </c>
      <c r="O318" s="38">
        <f t="shared" ca="1" si="168"/>
        <v>82.228465898174832</v>
      </c>
      <c r="P318" s="38">
        <f t="shared" ca="1" si="169"/>
        <v>75.160095706383359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IFERROR(__xludf.DUMMYFUNCTION("IMPORTRANGE(""https://docs.google.com/spreadsheets/d/1kC41EOXpGBFOW658Fs3oD8beYlym0-zO54WY-2Qnp9I/edit?usp=share_link"",""กระบี่!L320"")
+IMPORTRANGE(""https://docs.google.com/spreadsheets/d/1FbzMZY_f3MDiEuK7RpCQKrilJ_kpX0Wm7QBZ1L7EjIU/edit?usp=share_link"&amp;""",""ชุมพร!L320"")+IMPORTRANGE(""https://docs.google.com/spreadsheets/d/1v5sN-00LrXuhBxw4dkh2GrG_z4l5oAqOdJRBCsUyMaM/edit?usp=share_link"",""ตรัง!L320"")+IMPORTRANGE(""https://docs.google.com/spreadsheets/d/1T5rRTzFc79aSIvqnzkZNvwPstq829QYz_xALlO1Z0s8/edi"&amp;"t?usp=share_link"",""นครศรีธรรมราช!L320"")+IMPORTRANGE(""https://docs.google.com/spreadsheets/d/1BeghqumK0IvCmRd2QOy6_afsZq7ZtAGrSnVJy2u7WmY/edit?usp=share_link"",""นราธิวาส!L320"")+IMPORTRANGE(""https://docs.google.com/spreadsheets/d/1IwnW3-jjRf74MCLW-6P"&amp;"iFwMUffRQXZwZA7YM609NmRc/edit?usp=share_link"",""ปัตตานี!L320"")+IMPORTRANGE(""https://docs.google.com/spreadsheets/d/1vl4QWbWdFruual5o_wdo6ZSqXZ_it806oja4CctTLKs/edit?usp=share_link"",""พังงา!L320"")+IMPORTRANGE(""https://docs.google.com/spreadsheets/d/1"&amp;"b6QssHQp2FoAPSMKHOy273KNzAomaIKhtdlvuZ_zDNE/edit?usp=share_link"",""พัทลุง!L320"")+IMPORTRANGE(""https://docs.google.com/spreadsheets/d/1o7UZe4_OqlqtLDHrj01Z2YFRSZDf1DMy1n3XViHaxRc/edit?usp=share_link"",""ภูเก็ต!L320"")+IMPORTRANGE(""https://docs.google.c"&amp;"om/spreadsheets/d/1ctPm1vUzcUCPuOj9-eoHUD85PqINFqUB0TjdSWmR5-c/edit?usp=share_link"",""ยะลา!L320"")+IMPORTRANGE(""https://docs.google.com/spreadsheets/d/1YiDIE7Klmt8osgdapRqYWNr7iPGFSsiJqq46S7PYRE0/edit?usp=share_link"",""ระนอง!L320"")+IMPORTRANGE(""https"&amp;"://docs.google.com/spreadsheets/d/16o_4B-V7AWw_6E93bSpXj_XxVv1oVQctk-B6z1dNEWU/edit?usp=share_link"",""สงขลา!L320"")+IMPORTRANGE(""https://docs.google.com/spreadsheets/d/16cywr71Fj4fA5OGRHsZh30ZG2gwJhMAQv69oVBzYHv0/edit?usp=share_link"",""สตูล!L320"")+IMP"&amp;"ORTRANGE(""https://docs.google.com/spreadsheets/d/1vO9Sws6kMtrVtyvrAJptINXjK8TFBoX9xLYOVK_C8bQ/edit?usp=share_link"",""สุราษฎร์ธานี!L320"")"),1041000)</f>
        <v>1041000</v>
      </c>
      <c r="M320" s="45">
        <f ca="1">IFERROR(__xludf.DUMMYFUNCTION("IMPORTRANGE(""https://docs.google.com/spreadsheets/d/1kC41EOXpGBFOW658Fs3oD8beYlym0-zO54WY-2Qnp9I/edit?usp=share_link"",""กระบี่!M320"")
+IMPORTRANGE(""https://docs.google.com/spreadsheets/d/1FbzMZY_f3MDiEuK7RpCQKrilJ_kpX0Wm7QBZ1L7EjIU/edit?usp=share_link"&amp;""",""ชุมพร!M320"")+IMPORTRANGE(""https://docs.google.com/spreadsheets/d/1v5sN-00LrXuhBxw4dkh2GrG_z4l5oAqOdJRBCsUyMaM/edit?usp=share_link"",""ตรัง!M320"")+IMPORTRANGE(""https://docs.google.com/spreadsheets/d/1T5rRTzFc79aSIvqnzkZNvwPstq829QYz_xALlO1Z0s8/edi"&amp;"t?usp=share_link"",""นครศรีธรรมราช!M320"")+IMPORTRANGE(""https://docs.google.com/spreadsheets/d/1BeghqumK0IvCmRd2QOy6_afsZq7ZtAGrSnVJy2u7WmY/edit?usp=share_link"",""นราธิวาส!M320"")+IMPORTRANGE(""https://docs.google.com/spreadsheets/d/1IwnW3-jjRf74MCLW-6P"&amp;"iFwMUffRQXZwZA7YM609NmRc/edit?usp=share_link"",""ปัตตานี!M320"")+IMPORTRANGE(""https://docs.google.com/spreadsheets/d/1vl4QWbWdFruual5o_wdo6ZSqXZ_it806oja4CctTLKs/edit?usp=share_link"",""พังงา!M320"")+IMPORTRANGE(""https://docs.google.com/spreadsheets/d/1"&amp;"b6QssHQp2FoAPSMKHOy273KNzAomaIKhtdlvuZ_zDNE/edit?usp=share_link"",""พัทลุง!M320"")+IMPORTRANGE(""https://docs.google.com/spreadsheets/d/1o7UZe4_OqlqtLDHrj01Z2YFRSZDf1DMy1n3XViHaxRc/edit?usp=share_link"",""ภูเก็ต!M320"")+IMPORTRANGE(""https://docs.google.c"&amp;"om/spreadsheets/d/1ctPm1vUzcUCPuOj9-eoHUD85PqINFqUB0TjdSWmR5-c/edit?usp=share_link"",""ยะลา!M320"")+IMPORTRANGE(""https://docs.google.com/spreadsheets/d/1YiDIE7Klmt8osgdapRqYWNr7iPGFSsiJqq46S7PYRE0/edit?usp=share_link"",""ระนอง!M320"")+IMPORTRANGE(""https"&amp;"://docs.google.com/spreadsheets/d/16o_4B-V7AWw_6E93bSpXj_XxVv1oVQctk-B6z1dNEWU/edit?usp=share_link"",""สงขลา!M320"")+IMPORTRANGE(""https://docs.google.com/spreadsheets/d/16cywr71Fj4fA5OGRHsZh30ZG2gwJhMAQv69oVBzYHv0/edit?usp=share_link"",""สตูล!M320"")+IMP"&amp;"ORTRANGE(""https://docs.google.com/spreadsheets/d/1vO9Sws6kMtrVtyvrAJptINXjK8TFBoX9xLYOVK_C8bQ/edit?usp=share_link"",""สุราษฎร์ธานี!M320"")"),1138900)</f>
        <v>1138900</v>
      </c>
      <c r="N320" s="45">
        <f ca="1">IFERROR(__xludf.DUMMYFUNCTION("IMPORTRANGE(""https://docs.google.com/spreadsheets/d/1kC41EOXpGBFOW658Fs3oD8beYlym0-zO54WY-2Qnp9I/edit?usp=share_link"",""กระบี่!N320"")
+IMPORTRANGE(""https://docs.google.com/spreadsheets/d/1FbzMZY_f3MDiEuK7RpCQKrilJ_kpX0Wm7QBZ1L7EjIU/edit?usp=share_link"&amp;""",""ชุมพร!N320"")+IMPORTRANGE(""https://docs.google.com/spreadsheets/d/1v5sN-00LrXuhBxw4dkh2GrG_z4l5oAqOdJRBCsUyMaM/edit?usp=share_link"",""ตรัง!N320"")+IMPORTRANGE(""https://docs.google.com/spreadsheets/d/1T5rRTzFc79aSIvqnzkZNvwPstq829QYz_xALlO1Z0s8/edi"&amp;"t?usp=share_link"",""นครศรีธรรมราช!N320"")+IMPORTRANGE(""https://docs.google.com/spreadsheets/d/1BeghqumK0IvCmRd2QOy6_afsZq7ZtAGrSnVJy2u7WmY/edit?usp=share_link"",""นราธิวาส!N320"")+IMPORTRANGE(""https://docs.google.com/spreadsheets/d/1IwnW3-jjRf74MCLW-6P"&amp;"iFwMUffRQXZwZA7YM609NmRc/edit?usp=share_link"",""ปัตตานี!N320"")+IMPORTRANGE(""https://docs.google.com/spreadsheets/d/1vl4QWbWdFruual5o_wdo6ZSqXZ_it806oja4CctTLKs/edit?usp=share_link"",""พังงา!N320"")+IMPORTRANGE(""https://docs.google.com/spreadsheets/d/1"&amp;"b6QssHQp2FoAPSMKHOy273KNzAomaIKhtdlvuZ_zDNE/edit?usp=share_link"",""พัทลุง!N320"")+IMPORTRANGE(""https://docs.google.com/spreadsheets/d/1o7UZe4_OqlqtLDHrj01Z2YFRSZDf1DMy1n3XViHaxRc/edit?usp=share_link"",""ภูเก็ต!N320"")+IMPORTRANGE(""https://docs.google.c"&amp;"om/spreadsheets/d/1ctPm1vUzcUCPuOj9-eoHUD85PqINFqUB0TjdSWmR5-c/edit?usp=share_link"",""ยะลา!N320"")+IMPORTRANGE(""https://docs.google.com/spreadsheets/d/1YiDIE7Klmt8osgdapRqYWNr7iPGFSsiJqq46S7PYRE0/edit?usp=share_link"",""ระนอง!N320"")+IMPORTRANGE(""https"&amp;"://docs.google.com/spreadsheets/d/16o_4B-V7AWw_6E93bSpXj_XxVv1oVQctk-B6z1dNEWU/edit?usp=share_link"",""สงขลา!N320"")+IMPORTRANGE(""https://docs.google.com/spreadsheets/d/16cywr71Fj4fA5OGRHsZh30ZG2gwJhMAQv69oVBzYHv0/edit?usp=share_link"",""สตูล!N320"")+IMP"&amp;"ORTRANGE(""https://docs.google.com/spreadsheets/d/1vO9Sws6kMtrVtyvrAJptINXjK8TFBoX9xLYOVK_C8bQ/edit?usp=share_link"",""สุราษฎร์ธานี!N320"")"),855998.33)</f>
        <v>855998.33</v>
      </c>
      <c r="O320" s="45">
        <f t="shared" ca="1" si="168"/>
        <v>82.228465898174832</v>
      </c>
      <c r="P320" s="45">
        <f t="shared" ca="1" si="169"/>
        <v>75.160095706383359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3600000</v>
      </c>
      <c r="M321" s="38">
        <f t="shared" ca="1" si="173"/>
        <v>3587441.19</v>
      </c>
      <c r="N321" s="38">
        <f t="shared" ca="1" si="173"/>
        <v>3533821.19</v>
      </c>
      <c r="O321" s="38">
        <f t="shared" ca="1" si="168"/>
        <v>98.161699722222224</v>
      </c>
      <c r="P321" s="38">
        <f t="shared" ca="1" si="169"/>
        <v>98.505341351672442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IFERROR(__xludf.DUMMYFUNCTION("IMPORTRANGE(""https://docs.google.com/spreadsheets/d/1kC41EOXpGBFOW658Fs3oD8beYlym0-zO54WY-2Qnp9I/edit?usp=share_link"",""กระบี่!L323"")
+IMPORTRANGE(""https://docs.google.com/spreadsheets/d/1FbzMZY_f3MDiEuK7RpCQKrilJ_kpX0Wm7QBZ1L7EjIU/edit?usp=share_link"&amp;""",""ชุมพร!L323"")+IMPORTRANGE(""https://docs.google.com/spreadsheets/d/1v5sN-00LrXuhBxw4dkh2GrG_z4l5oAqOdJRBCsUyMaM/edit?usp=share_link"",""ตรัง!L323"")+IMPORTRANGE(""https://docs.google.com/spreadsheets/d/1T5rRTzFc79aSIvqnzkZNvwPstq829QYz_xALlO1Z0s8/edi"&amp;"t?usp=share_link"",""นครศรีธรรมราช!L323"")+IMPORTRANGE(""https://docs.google.com/spreadsheets/d/1BeghqumK0IvCmRd2QOy6_afsZq7ZtAGrSnVJy2u7WmY/edit?usp=share_link"",""นราธิวาส!L323"")+IMPORTRANGE(""https://docs.google.com/spreadsheets/d/1IwnW3-jjRf74MCLW-6P"&amp;"iFwMUffRQXZwZA7YM609NmRc/edit?usp=share_link"",""ปัตตานี!L323"")+IMPORTRANGE(""https://docs.google.com/spreadsheets/d/1vl4QWbWdFruual5o_wdo6ZSqXZ_it806oja4CctTLKs/edit?usp=share_link"",""พังงา!L323"")+IMPORTRANGE(""https://docs.google.com/spreadsheets/d/1"&amp;"b6QssHQp2FoAPSMKHOy273KNzAomaIKhtdlvuZ_zDNE/edit?usp=share_link"",""พัทลุง!L323"")+IMPORTRANGE(""https://docs.google.com/spreadsheets/d/1o7UZe4_OqlqtLDHrj01Z2YFRSZDf1DMy1n3XViHaxRc/edit?usp=share_link"",""ภูเก็ต!L323"")+IMPORTRANGE(""https://docs.google.c"&amp;"om/spreadsheets/d/1ctPm1vUzcUCPuOj9-eoHUD85PqINFqUB0TjdSWmR5-c/edit?usp=share_link"",""ยะลา!L323"")+IMPORTRANGE(""https://docs.google.com/spreadsheets/d/1YiDIE7Klmt8osgdapRqYWNr7iPGFSsiJqq46S7PYRE0/edit?usp=share_link"",""ระนอง!L323"")+IMPORTRANGE(""https"&amp;"://docs.google.com/spreadsheets/d/16o_4B-V7AWw_6E93bSpXj_XxVv1oVQctk-B6z1dNEWU/edit?usp=share_link"",""สงขลา!L323"")+IMPORTRANGE(""https://docs.google.com/spreadsheets/d/16cywr71Fj4fA5OGRHsZh30ZG2gwJhMAQv69oVBzYHv0/edit?usp=share_link"",""สตูล!L323"")+IMP"&amp;"ORTRANGE(""https://docs.google.com/spreadsheets/d/1vO9Sws6kMtrVtyvrAJptINXjK8TFBoX9xLYOVK_C8bQ/edit?usp=share_link"",""สุราษฎร์ธานี!L323"")"),3600000)</f>
        <v>3600000</v>
      </c>
      <c r="M323" s="45">
        <f ca="1">IFERROR(__xludf.DUMMYFUNCTION("IMPORTRANGE(""https://docs.google.com/spreadsheets/d/1kC41EOXpGBFOW658Fs3oD8beYlym0-zO54WY-2Qnp9I/edit?usp=share_link"",""กระบี่!M323"")
+IMPORTRANGE(""https://docs.google.com/spreadsheets/d/1FbzMZY_f3MDiEuK7RpCQKrilJ_kpX0Wm7QBZ1L7EjIU/edit?usp=share_link"&amp;""",""ชุมพร!M323"")+IMPORTRANGE(""https://docs.google.com/spreadsheets/d/1v5sN-00LrXuhBxw4dkh2GrG_z4l5oAqOdJRBCsUyMaM/edit?usp=share_link"",""ตรัง!M323"")+IMPORTRANGE(""https://docs.google.com/spreadsheets/d/1T5rRTzFc79aSIvqnzkZNvwPstq829QYz_xALlO1Z0s8/edi"&amp;"t?usp=share_link"",""นครศรีธรรมราช!M323"")+IMPORTRANGE(""https://docs.google.com/spreadsheets/d/1BeghqumK0IvCmRd2QOy6_afsZq7ZtAGrSnVJy2u7WmY/edit?usp=share_link"",""นราธิวาส!M323"")+IMPORTRANGE(""https://docs.google.com/spreadsheets/d/1IwnW3-jjRf74MCLW-6P"&amp;"iFwMUffRQXZwZA7YM609NmRc/edit?usp=share_link"",""ปัตตานี!M323"")+IMPORTRANGE(""https://docs.google.com/spreadsheets/d/1vl4QWbWdFruual5o_wdo6ZSqXZ_it806oja4CctTLKs/edit?usp=share_link"",""พังงา!M323"")+IMPORTRANGE(""https://docs.google.com/spreadsheets/d/1"&amp;"b6QssHQp2FoAPSMKHOy273KNzAomaIKhtdlvuZ_zDNE/edit?usp=share_link"",""พัทลุง!M323"")+IMPORTRANGE(""https://docs.google.com/spreadsheets/d/1o7UZe4_OqlqtLDHrj01Z2YFRSZDf1DMy1n3XViHaxRc/edit?usp=share_link"",""ภูเก็ต!M323"")+IMPORTRANGE(""https://docs.google.c"&amp;"om/spreadsheets/d/1ctPm1vUzcUCPuOj9-eoHUD85PqINFqUB0TjdSWmR5-c/edit?usp=share_link"",""ยะลา!M323"")+IMPORTRANGE(""https://docs.google.com/spreadsheets/d/1YiDIE7Klmt8osgdapRqYWNr7iPGFSsiJqq46S7PYRE0/edit?usp=share_link"",""ระนอง!M323"")+IMPORTRANGE(""https"&amp;"://docs.google.com/spreadsheets/d/16o_4B-V7AWw_6E93bSpXj_XxVv1oVQctk-B6z1dNEWU/edit?usp=share_link"",""สงขลา!M323"")+IMPORTRANGE(""https://docs.google.com/spreadsheets/d/16cywr71Fj4fA5OGRHsZh30ZG2gwJhMAQv69oVBzYHv0/edit?usp=share_link"",""สตูล!M323"")+IMP"&amp;"ORTRANGE(""https://docs.google.com/spreadsheets/d/1vO9Sws6kMtrVtyvrAJptINXjK8TFBoX9xLYOVK_C8bQ/edit?usp=share_link"",""สุราษฎร์ธานี!M323"")"),3587441.19)</f>
        <v>3587441.19</v>
      </c>
      <c r="N323" s="45">
        <f ca="1">IFERROR(__xludf.DUMMYFUNCTION("IMPORTRANGE(""https://docs.google.com/spreadsheets/d/1kC41EOXpGBFOW658Fs3oD8beYlym0-zO54WY-2Qnp9I/edit?usp=share_link"",""กระบี่!N323"")
+IMPORTRANGE(""https://docs.google.com/spreadsheets/d/1FbzMZY_f3MDiEuK7RpCQKrilJ_kpX0Wm7QBZ1L7EjIU/edit?usp=share_link"&amp;""",""ชุมพร!N323"")+IMPORTRANGE(""https://docs.google.com/spreadsheets/d/1v5sN-00LrXuhBxw4dkh2GrG_z4l5oAqOdJRBCsUyMaM/edit?usp=share_link"",""ตรัง!N323"")+IMPORTRANGE(""https://docs.google.com/spreadsheets/d/1T5rRTzFc79aSIvqnzkZNvwPstq829QYz_xALlO1Z0s8/edi"&amp;"t?usp=share_link"",""นครศรีธรรมราช!N323"")+IMPORTRANGE(""https://docs.google.com/spreadsheets/d/1BeghqumK0IvCmRd2QOy6_afsZq7ZtAGrSnVJy2u7WmY/edit?usp=share_link"",""นราธิวาส!N323"")+IMPORTRANGE(""https://docs.google.com/spreadsheets/d/1IwnW3-jjRf74MCLW-6P"&amp;"iFwMUffRQXZwZA7YM609NmRc/edit?usp=share_link"",""ปัตตานี!N323"")+IMPORTRANGE(""https://docs.google.com/spreadsheets/d/1vl4QWbWdFruual5o_wdo6ZSqXZ_it806oja4CctTLKs/edit?usp=share_link"",""พังงา!N323"")+IMPORTRANGE(""https://docs.google.com/spreadsheets/d/1"&amp;"b6QssHQp2FoAPSMKHOy273KNzAomaIKhtdlvuZ_zDNE/edit?usp=share_link"",""พัทลุง!N323"")+IMPORTRANGE(""https://docs.google.com/spreadsheets/d/1o7UZe4_OqlqtLDHrj01Z2YFRSZDf1DMy1n3XViHaxRc/edit?usp=share_link"",""ภูเก็ต!N323"")+IMPORTRANGE(""https://docs.google.c"&amp;"om/spreadsheets/d/1ctPm1vUzcUCPuOj9-eoHUD85PqINFqUB0TjdSWmR5-c/edit?usp=share_link"",""ยะลา!N323"")+IMPORTRANGE(""https://docs.google.com/spreadsheets/d/1YiDIE7Klmt8osgdapRqYWNr7iPGFSsiJqq46S7PYRE0/edit?usp=share_link"",""ระนอง!N323"")+IMPORTRANGE(""https"&amp;"://docs.google.com/spreadsheets/d/16o_4B-V7AWw_6E93bSpXj_XxVv1oVQctk-B6z1dNEWU/edit?usp=share_link"",""สงขลา!N323"")+IMPORTRANGE(""https://docs.google.com/spreadsheets/d/16cywr71Fj4fA5OGRHsZh30ZG2gwJhMAQv69oVBzYHv0/edit?usp=share_link"",""สตูล!N323"")+IMP"&amp;"ORTRANGE(""https://docs.google.com/spreadsheets/d/1vO9Sws6kMtrVtyvrAJptINXjK8TFBoX9xLYOVK_C8bQ/edit?usp=share_link"",""สุราษฎร์ธานี!N323"")"),3533821.19)</f>
        <v>3533821.19</v>
      </c>
      <c r="O323" s="45">
        <f t="shared" ca="1" si="168"/>
        <v>98.161699722222224</v>
      </c>
      <c r="P323" s="45">
        <f t="shared" ca="1" si="169"/>
        <v>98.505341351672442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IFERROR(__xludf.DUMMYFUNCTION("IMPORTRANGE(""https://docs.google.com/spreadsheets/d/1kC41EOXpGBFOW658Fs3oD8beYlym0-zO54WY-2Qnp9I/edit?usp=share_link"",""กระบี่!I325"")
+IMPORTRANGE(""https://docs.google.com/spreadsheets/d/1FbzMZY_f3MDiEuK7RpCQKrilJ_kpX0Wm7QBZ1L7EjIU/edit?usp=share_link"&amp;""",""ชุมพร!I325"")+IMPORTRANGE(""https://docs.google.com/spreadsheets/d/1v5sN-00LrXuhBxw4dkh2GrG_z4l5oAqOdJRBCsUyMaM/edit?usp=share_link"",""ตรัง!I325"")+IMPORTRANGE(""https://docs.google.com/spreadsheets/d/1T5rRTzFc79aSIvqnzkZNvwPstq829QYz_xALlO1Z0s8/edi"&amp;"t?usp=share_link"",""นครศรีธรรมราช!I325"")+IMPORTRANGE(""https://docs.google.com/spreadsheets/d/1BeghqumK0IvCmRd2QOy6_afsZq7ZtAGrSnVJy2u7WmY/edit?usp=share_link"",""นราธิวาส!I325"")+IMPORTRANGE(""https://docs.google.com/spreadsheets/d/1IwnW3-jjRf74MCLW-6P"&amp;"iFwMUffRQXZwZA7YM609NmRc/edit?usp=share_link"",""ปัตตานี!I325"")+IMPORTRANGE(""https://docs.google.com/spreadsheets/d/1vl4QWbWdFruual5o_wdo6ZSqXZ_it806oja4CctTLKs/edit?usp=share_link"",""พังงา!I325"")+IMPORTRANGE(""https://docs.google.com/spreadsheets/d/1"&amp;"b6QssHQp2FoAPSMKHOy273KNzAomaIKhtdlvuZ_zDNE/edit?usp=share_link"",""พัทลุง!I325"")+IMPORTRANGE(""https://docs.google.com/spreadsheets/d/1o7UZe4_OqlqtLDHrj01Z2YFRSZDf1DMy1n3XViHaxRc/edit?usp=share_link"",""ภูเก็ต!I325"")+IMPORTRANGE(""https://docs.google.c"&amp;"om/spreadsheets/d/1ctPm1vUzcUCPuOj9-eoHUD85PqINFqUB0TjdSWmR5-c/edit?usp=share_link"",""ยะลา!I325"")+IMPORTRANGE(""https://docs.google.com/spreadsheets/d/1YiDIE7Klmt8osgdapRqYWNr7iPGFSsiJqq46S7PYRE0/edit?usp=share_link"",""ระนอง!I325"")+IMPORTRANGE(""https"&amp;"://docs.google.com/spreadsheets/d/16o_4B-V7AWw_6E93bSpXj_XxVv1oVQctk-B6z1dNEWU/edit?usp=share_link"",""สงขลา!I325"")+IMPORTRANGE(""https://docs.google.com/spreadsheets/d/16cywr71Fj4fA5OGRHsZh30ZG2gwJhMAQv69oVBzYHv0/edit?usp=share_link"",""สตูล!I325"")+IMP"&amp;"ORTRANGE(""https://docs.google.com/spreadsheets/d/1vO9Sws6kMtrVtyvrAJptINXjK8TFBoX9xLYOVK_C8bQ/edit?usp=share_link"",""สุราษฎร์ธานี!I325"")"),5)</f>
        <v>5</v>
      </c>
      <c r="J325" s="183">
        <f ca="1">IFERROR(__xludf.DUMMYFUNCTION("IMPORTRANGE(""https://docs.google.com/spreadsheets/d/1kC41EOXpGBFOW658Fs3oD8beYlym0-zO54WY-2Qnp9I/edit?usp=share_link"",""กระบี่!J325"")
+IMPORTRANGE(""https://docs.google.com/spreadsheets/d/1FbzMZY_f3MDiEuK7RpCQKrilJ_kpX0Wm7QBZ1L7EjIU/edit?usp=share_link"&amp;""",""ชุมพร!J325"")+IMPORTRANGE(""https://docs.google.com/spreadsheets/d/1v5sN-00LrXuhBxw4dkh2GrG_z4l5oAqOdJRBCsUyMaM/edit?usp=share_link"",""ตรัง!J325"")+IMPORTRANGE(""https://docs.google.com/spreadsheets/d/1T5rRTzFc79aSIvqnzkZNvwPstq829QYz_xALlO1Z0s8/edi"&amp;"t?usp=share_link"",""นครศรีธรรมราช!J325"")+IMPORTRANGE(""https://docs.google.com/spreadsheets/d/1BeghqumK0IvCmRd2QOy6_afsZq7ZtAGrSnVJy2u7WmY/edit?usp=share_link"",""นราธิวาส!J325"")+IMPORTRANGE(""https://docs.google.com/spreadsheets/d/1IwnW3-jjRf74MCLW-6P"&amp;"iFwMUffRQXZwZA7YM609NmRc/edit?usp=share_link"",""ปัตตานี!J325"")+IMPORTRANGE(""https://docs.google.com/spreadsheets/d/1vl4QWbWdFruual5o_wdo6ZSqXZ_it806oja4CctTLKs/edit?usp=share_link"",""พังงา!J325"")+IMPORTRANGE(""https://docs.google.com/spreadsheets/d/1"&amp;"b6QssHQp2FoAPSMKHOy273KNzAomaIKhtdlvuZ_zDNE/edit?usp=share_link"",""พัทลุง!J325"")+IMPORTRANGE(""https://docs.google.com/spreadsheets/d/1o7UZe4_OqlqtLDHrj01Z2YFRSZDf1DMy1n3XViHaxRc/edit?usp=share_link"",""ภูเก็ต!J325"")+IMPORTRANGE(""https://docs.google.c"&amp;"om/spreadsheets/d/1ctPm1vUzcUCPuOj9-eoHUD85PqINFqUB0TjdSWmR5-c/edit?usp=share_link"",""ยะลา!J325"")+IMPORTRANGE(""https://docs.google.com/spreadsheets/d/1YiDIE7Klmt8osgdapRqYWNr7iPGFSsiJqq46S7PYRE0/edit?usp=share_link"",""ระนอง!J325"")+IMPORTRANGE(""https"&amp;"://docs.google.com/spreadsheets/d/16o_4B-V7AWw_6E93bSpXj_XxVv1oVQctk-B6z1dNEWU/edit?usp=share_link"",""สงขลา!J325"")+IMPORTRANGE(""https://docs.google.com/spreadsheets/d/16cywr71Fj4fA5OGRHsZh30ZG2gwJhMAQv69oVBzYHv0/edit?usp=share_link"",""สตูล!J325"")+IMP"&amp;"ORTRANGE(""https://docs.google.com/spreadsheets/d/1vO9Sws6kMtrVtyvrAJptINXjK8TFBoX9xLYOVK_C8bQ/edit?usp=share_link"",""สุราษฎร์ธานี!J325"")"),5)</f>
        <v>5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20.25" customHeight="1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20.25" customHeight="1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IFERROR(__xludf.DUMMYFUNCTION("IMPORTRANGE(""https://docs.google.com/spreadsheets/d/1kC41EOXpGBFOW658Fs3oD8beYlym0-zO54WY-2Qnp9I/edit?usp=share_link"",""กระบี่!I327"")
+IMPORTRANGE(""https://docs.google.com/spreadsheets/d/1FbzMZY_f3MDiEuK7RpCQKrilJ_kpX0Wm7QBZ1L7EjIU/edit?usp=share_link"&amp;""",""ชุมพร!I327"")+IMPORTRANGE(""https://docs.google.com/spreadsheets/d/1v5sN-00LrXuhBxw4dkh2GrG_z4l5oAqOdJRBCsUyMaM/edit?usp=share_link"",""ตรัง!I327"")+IMPORTRANGE(""https://docs.google.com/spreadsheets/d/1T5rRTzFc79aSIvqnzkZNvwPstq829QYz_xALlO1Z0s8/edi"&amp;"t?usp=share_link"",""นครศรีธรรมราช!I327"")+IMPORTRANGE(""https://docs.google.com/spreadsheets/d/1BeghqumK0IvCmRd2QOy6_afsZq7ZtAGrSnVJy2u7WmY/edit?usp=share_link"",""นราธิวาส!I327"")+IMPORTRANGE(""https://docs.google.com/spreadsheets/d/1IwnW3-jjRf74MCLW-6P"&amp;"iFwMUffRQXZwZA7YM609NmRc/edit?usp=share_link"",""ปัตตานี!I327"")+IMPORTRANGE(""https://docs.google.com/spreadsheets/d/1vl4QWbWdFruual5o_wdo6ZSqXZ_it806oja4CctTLKs/edit?usp=share_link"",""พังงา!I327"")+IMPORTRANGE(""https://docs.google.com/spreadsheets/d/1"&amp;"b6QssHQp2FoAPSMKHOy273KNzAomaIKhtdlvuZ_zDNE/edit?usp=share_link"",""พัทลุง!I327"")+IMPORTRANGE(""https://docs.google.com/spreadsheets/d/1o7UZe4_OqlqtLDHrj01Z2YFRSZDf1DMy1n3XViHaxRc/edit?usp=share_link"",""ภูเก็ต!I327"")+IMPORTRANGE(""https://docs.google.c"&amp;"om/spreadsheets/d/1ctPm1vUzcUCPuOj9-eoHUD85PqINFqUB0TjdSWmR5-c/edit?usp=share_link"",""ยะลา!I327"")+IMPORTRANGE(""https://docs.google.com/spreadsheets/d/1YiDIE7Klmt8osgdapRqYWNr7iPGFSsiJqq46S7PYRE0/edit?usp=share_link"",""ระนอง!I327"")+IMPORTRANGE(""https"&amp;"://docs.google.com/spreadsheets/d/16o_4B-V7AWw_6E93bSpXj_XxVv1oVQctk-B6z1dNEWU/edit?usp=share_link"",""สงขลา!I327"")+IMPORTRANGE(""https://docs.google.com/spreadsheets/d/16cywr71Fj4fA5OGRHsZh30ZG2gwJhMAQv69oVBzYHv0/edit?usp=share_link"",""สตูล!I327"")+IMP"&amp;"ORTRANGE(""https://docs.google.com/spreadsheets/d/1vO9Sws6kMtrVtyvrAJptINXjK8TFBoX9xLYOVK_C8bQ/edit?usp=share_link"",""สุราษฎร์ธานี!I327"")"),18180)</f>
        <v>18180</v>
      </c>
      <c r="J327" s="445">
        <f ca="1">J338+J341+J342+J343</f>
        <v>35092</v>
      </c>
      <c r="K327" s="446">
        <f ca="1">IF(I327&gt;0,J327*100/I327,0)</f>
        <v>193.02530253025301</v>
      </c>
      <c r="L327" s="447"/>
      <c r="M327" s="447"/>
      <c r="N327" s="447"/>
      <c r="O327" s="447"/>
      <c r="P327" s="447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2297000</v>
      </c>
      <c r="M328" s="155">
        <f t="shared" ca="1" si="174"/>
        <v>2341000</v>
      </c>
      <c r="N328" s="155">
        <f t="shared" ca="1" si="174"/>
        <v>1603599.8</v>
      </c>
      <c r="O328" s="155">
        <f t="shared" ref="O328:O336" ca="1" si="175">IF(L328&gt;0,N328*100/L328,0)</f>
        <v>69.812790596430119</v>
      </c>
      <c r="P328" s="155">
        <f t="shared" ref="P328:P336" ca="1" si="176">IF(M328&gt;0,N328*100/M328,0)</f>
        <v>68.50063220845793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2297000</v>
      </c>
      <c r="M330" s="45">
        <f t="shared" ca="1" si="178"/>
        <v>2341000</v>
      </c>
      <c r="N330" s="45">
        <f t="shared" ca="1" si="178"/>
        <v>1603599.8</v>
      </c>
      <c r="O330" s="45">
        <f t="shared" ca="1" si="175"/>
        <v>69.812790596430119</v>
      </c>
      <c r="P330" s="45">
        <f t="shared" ca="1" si="176"/>
        <v>68.50063220845793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2297000</v>
      </c>
      <c r="M331" s="38">
        <f t="shared" ca="1" si="179"/>
        <v>2332000</v>
      </c>
      <c r="N331" s="38">
        <f t="shared" ca="1" si="179"/>
        <v>1603599.8</v>
      </c>
      <c r="O331" s="38">
        <f t="shared" ca="1" si="175"/>
        <v>69.812790596430119</v>
      </c>
      <c r="P331" s="38">
        <f t="shared" ca="1" si="176"/>
        <v>68.765000000000001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IFERROR(__xludf.DUMMYFUNCTION("IMPORTRANGE(""https://docs.google.com/spreadsheets/d/1kC41EOXpGBFOW658Fs3oD8beYlym0-zO54WY-2Qnp9I/edit?usp=share_link"",""กระบี่!L333"")
+IMPORTRANGE(""https://docs.google.com/spreadsheets/d/1FbzMZY_f3MDiEuK7RpCQKrilJ_kpX0Wm7QBZ1L7EjIU/edit?usp=share_link"&amp;""",""ชุมพร!L333"")+IMPORTRANGE(""https://docs.google.com/spreadsheets/d/1v5sN-00LrXuhBxw4dkh2GrG_z4l5oAqOdJRBCsUyMaM/edit?usp=share_link"",""ตรัง!L333"")+IMPORTRANGE(""https://docs.google.com/spreadsheets/d/1T5rRTzFc79aSIvqnzkZNvwPstq829QYz_xALlO1Z0s8/edi"&amp;"t?usp=share_link"",""นครศรีธรรมราช!L333"")+IMPORTRANGE(""https://docs.google.com/spreadsheets/d/1BeghqumK0IvCmRd2QOy6_afsZq7ZtAGrSnVJy2u7WmY/edit?usp=share_link"",""นราธิวาส!L333"")+IMPORTRANGE(""https://docs.google.com/spreadsheets/d/1IwnW3-jjRf74MCLW-6P"&amp;"iFwMUffRQXZwZA7YM609NmRc/edit?usp=share_link"",""ปัตตานี!L333"")+IMPORTRANGE(""https://docs.google.com/spreadsheets/d/1vl4QWbWdFruual5o_wdo6ZSqXZ_it806oja4CctTLKs/edit?usp=share_link"",""พังงา!L333"")+IMPORTRANGE(""https://docs.google.com/spreadsheets/d/1"&amp;"b6QssHQp2FoAPSMKHOy273KNzAomaIKhtdlvuZ_zDNE/edit?usp=share_link"",""พัทลุง!L333"")+IMPORTRANGE(""https://docs.google.com/spreadsheets/d/1o7UZe4_OqlqtLDHrj01Z2YFRSZDf1DMy1n3XViHaxRc/edit?usp=share_link"",""ภูเก็ต!L333"")+IMPORTRANGE(""https://docs.google.c"&amp;"om/spreadsheets/d/1ctPm1vUzcUCPuOj9-eoHUD85PqINFqUB0TjdSWmR5-c/edit?usp=share_link"",""ยะลา!L333"")+IMPORTRANGE(""https://docs.google.com/spreadsheets/d/1YiDIE7Klmt8osgdapRqYWNr7iPGFSsiJqq46S7PYRE0/edit?usp=share_link"",""ระนอง!L333"")+IMPORTRANGE(""https"&amp;"://docs.google.com/spreadsheets/d/16o_4B-V7AWw_6E93bSpXj_XxVv1oVQctk-B6z1dNEWU/edit?usp=share_link"",""สงขลา!L333"")+IMPORTRANGE(""https://docs.google.com/spreadsheets/d/16cywr71Fj4fA5OGRHsZh30ZG2gwJhMAQv69oVBzYHv0/edit?usp=share_link"",""สตูล!L333"")+IMP"&amp;"ORTRANGE(""https://docs.google.com/spreadsheets/d/1vO9Sws6kMtrVtyvrAJptINXjK8TFBoX9xLYOVK_C8bQ/edit?usp=share_link"",""สุราษฎร์ธานี!L333"")"),2297000)</f>
        <v>2297000</v>
      </c>
      <c r="M333" s="45">
        <f ca="1">IFERROR(__xludf.DUMMYFUNCTION("IMPORTRANGE(""https://docs.google.com/spreadsheets/d/1kC41EOXpGBFOW658Fs3oD8beYlym0-zO54WY-2Qnp9I/edit?usp=share_link"",""กระบี่!M333"")
+IMPORTRANGE(""https://docs.google.com/spreadsheets/d/1FbzMZY_f3MDiEuK7RpCQKrilJ_kpX0Wm7QBZ1L7EjIU/edit?usp=share_link"&amp;""",""ชุมพร!M333"")+IMPORTRANGE(""https://docs.google.com/spreadsheets/d/1v5sN-00LrXuhBxw4dkh2GrG_z4l5oAqOdJRBCsUyMaM/edit?usp=share_link"",""ตรัง!M333"")+IMPORTRANGE(""https://docs.google.com/spreadsheets/d/1T5rRTzFc79aSIvqnzkZNvwPstq829QYz_xALlO1Z0s8/edi"&amp;"t?usp=share_link"",""นครศรีธรรมราช!M333"")+IMPORTRANGE(""https://docs.google.com/spreadsheets/d/1BeghqumK0IvCmRd2QOy6_afsZq7ZtAGrSnVJy2u7WmY/edit?usp=share_link"",""นราธิวาส!M333"")+IMPORTRANGE(""https://docs.google.com/spreadsheets/d/1IwnW3-jjRf74MCLW-6P"&amp;"iFwMUffRQXZwZA7YM609NmRc/edit?usp=share_link"",""ปัตตานี!M333"")+IMPORTRANGE(""https://docs.google.com/spreadsheets/d/1vl4QWbWdFruual5o_wdo6ZSqXZ_it806oja4CctTLKs/edit?usp=share_link"",""พังงา!M333"")+IMPORTRANGE(""https://docs.google.com/spreadsheets/d/1"&amp;"b6QssHQp2FoAPSMKHOy273KNzAomaIKhtdlvuZ_zDNE/edit?usp=share_link"",""พัทลุง!M333"")+IMPORTRANGE(""https://docs.google.com/spreadsheets/d/1o7UZe4_OqlqtLDHrj01Z2YFRSZDf1DMy1n3XViHaxRc/edit?usp=share_link"",""ภูเก็ต!M333"")+IMPORTRANGE(""https://docs.google.c"&amp;"om/spreadsheets/d/1ctPm1vUzcUCPuOj9-eoHUD85PqINFqUB0TjdSWmR5-c/edit?usp=share_link"",""ยะลา!M333"")+IMPORTRANGE(""https://docs.google.com/spreadsheets/d/1YiDIE7Klmt8osgdapRqYWNr7iPGFSsiJqq46S7PYRE0/edit?usp=share_link"",""ระนอง!M333"")+IMPORTRANGE(""https"&amp;"://docs.google.com/spreadsheets/d/16o_4B-V7AWw_6E93bSpXj_XxVv1oVQctk-B6z1dNEWU/edit?usp=share_link"",""สงขลา!M333"")+IMPORTRANGE(""https://docs.google.com/spreadsheets/d/16cywr71Fj4fA5OGRHsZh30ZG2gwJhMAQv69oVBzYHv0/edit?usp=share_link"",""สตูล!M333"")+IMP"&amp;"ORTRANGE(""https://docs.google.com/spreadsheets/d/1vO9Sws6kMtrVtyvrAJptINXjK8TFBoX9xLYOVK_C8bQ/edit?usp=share_link"",""สุราษฎร์ธานี!M333"")"),2332000)</f>
        <v>2332000</v>
      </c>
      <c r="N333" s="45">
        <f ca="1">IFERROR(__xludf.DUMMYFUNCTION("IMPORTRANGE(""https://docs.google.com/spreadsheets/d/1kC41EOXpGBFOW658Fs3oD8beYlym0-zO54WY-2Qnp9I/edit?usp=share_link"",""กระบี่!N333"")
+IMPORTRANGE(""https://docs.google.com/spreadsheets/d/1FbzMZY_f3MDiEuK7RpCQKrilJ_kpX0Wm7QBZ1L7EjIU/edit?usp=share_link"&amp;""",""ชุมพร!N333"")+IMPORTRANGE(""https://docs.google.com/spreadsheets/d/1v5sN-00LrXuhBxw4dkh2GrG_z4l5oAqOdJRBCsUyMaM/edit?usp=share_link"",""ตรัง!N333"")+IMPORTRANGE(""https://docs.google.com/spreadsheets/d/1T5rRTzFc79aSIvqnzkZNvwPstq829QYz_xALlO1Z0s8/edi"&amp;"t?usp=share_link"",""นครศรีธรรมราช!N333"")+IMPORTRANGE(""https://docs.google.com/spreadsheets/d/1BeghqumK0IvCmRd2QOy6_afsZq7ZtAGrSnVJy2u7WmY/edit?usp=share_link"",""นราธิวาส!N333"")+IMPORTRANGE(""https://docs.google.com/spreadsheets/d/1IwnW3-jjRf74MCLW-6P"&amp;"iFwMUffRQXZwZA7YM609NmRc/edit?usp=share_link"",""ปัตตานี!N333"")+IMPORTRANGE(""https://docs.google.com/spreadsheets/d/1vl4QWbWdFruual5o_wdo6ZSqXZ_it806oja4CctTLKs/edit?usp=share_link"",""พังงา!N333"")+IMPORTRANGE(""https://docs.google.com/spreadsheets/d/1"&amp;"b6QssHQp2FoAPSMKHOy273KNzAomaIKhtdlvuZ_zDNE/edit?usp=share_link"",""พัทลุง!N333"")+IMPORTRANGE(""https://docs.google.com/spreadsheets/d/1o7UZe4_OqlqtLDHrj01Z2YFRSZDf1DMy1n3XViHaxRc/edit?usp=share_link"",""ภูเก็ต!N333"")+IMPORTRANGE(""https://docs.google.c"&amp;"om/spreadsheets/d/1ctPm1vUzcUCPuOj9-eoHUD85PqINFqUB0TjdSWmR5-c/edit?usp=share_link"",""ยะลา!N333"")+IMPORTRANGE(""https://docs.google.com/spreadsheets/d/1YiDIE7Klmt8osgdapRqYWNr7iPGFSsiJqq46S7PYRE0/edit?usp=share_link"",""ระนอง!N333"")+IMPORTRANGE(""https"&amp;"://docs.google.com/spreadsheets/d/16o_4B-V7AWw_6E93bSpXj_XxVv1oVQctk-B6z1dNEWU/edit?usp=share_link"",""สงขลา!N333"")+IMPORTRANGE(""https://docs.google.com/spreadsheets/d/16cywr71Fj4fA5OGRHsZh30ZG2gwJhMAQv69oVBzYHv0/edit?usp=share_link"",""สตูล!N333"")+IMP"&amp;"ORTRANGE(""https://docs.google.com/spreadsheets/d/1vO9Sws6kMtrVtyvrAJptINXjK8TFBoX9xLYOVK_C8bQ/edit?usp=share_link"",""สุราษฎร์ธานี!N333"")"),1603599.8)</f>
        <v>1603599.8</v>
      </c>
      <c r="O333" s="45">
        <f t="shared" ca="1" si="175"/>
        <v>69.812790596430119</v>
      </c>
      <c r="P333" s="45">
        <f t="shared" ca="1" si="176"/>
        <v>68.765000000000001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0</v>
      </c>
      <c r="M334" s="38">
        <f t="shared" ca="1" si="180"/>
        <v>9000</v>
      </c>
      <c r="N334" s="38">
        <f t="shared" ca="1" si="180"/>
        <v>0</v>
      </c>
      <c r="O334" s="38">
        <f t="shared" ca="1" si="175"/>
        <v>0</v>
      </c>
      <c r="P334" s="38">
        <f t="shared" ca="1" si="176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IFERROR(__xludf.DUMMYFUNCTION("IMPORTRANGE(""https://docs.google.com/spreadsheets/d/1kC41EOXpGBFOW658Fs3oD8beYlym0-zO54WY-2Qnp9I/edit?usp=share_link"",""กระบี่!L336"")
+IMPORTRANGE(""https://docs.google.com/spreadsheets/d/1FbzMZY_f3MDiEuK7RpCQKrilJ_kpX0Wm7QBZ1L7EjIU/edit?usp=share_link"&amp;""",""ชุมพร!L336"")+IMPORTRANGE(""https://docs.google.com/spreadsheets/d/1v5sN-00LrXuhBxw4dkh2GrG_z4l5oAqOdJRBCsUyMaM/edit?usp=share_link"",""ตรัง!L336"")+IMPORTRANGE(""https://docs.google.com/spreadsheets/d/1T5rRTzFc79aSIvqnzkZNvwPstq829QYz_xALlO1Z0s8/edi"&amp;"t?usp=share_link"",""นครศรีธรรมราช!L336"")+IMPORTRANGE(""https://docs.google.com/spreadsheets/d/1BeghqumK0IvCmRd2QOy6_afsZq7ZtAGrSnVJy2u7WmY/edit?usp=share_link"",""นราธิวาส!L336"")+IMPORTRANGE(""https://docs.google.com/spreadsheets/d/1IwnW3-jjRf74MCLW-6P"&amp;"iFwMUffRQXZwZA7YM609NmRc/edit?usp=share_link"",""ปัตตานี!L336"")+IMPORTRANGE(""https://docs.google.com/spreadsheets/d/1vl4QWbWdFruual5o_wdo6ZSqXZ_it806oja4CctTLKs/edit?usp=share_link"",""พังงา!L336"")+IMPORTRANGE(""https://docs.google.com/spreadsheets/d/1"&amp;"b6QssHQp2FoAPSMKHOy273KNzAomaIKhtdlvuZ_zDNE/edit?usp=share_link"",""พัทลุง!L336"")+IMPORTRANGE(""https://docs.google.com/spreadsheets/d/1o7UZe4_OqlqtLDHrj01Z2YFRSZDf1DMy1n3XViHaxRc/edit?usp=share_link"",""ภูเก็ต!L336"")+IMPORTRANGE(""https://docs.google.c"&amp;"om/spreadsheets/d/1ctPm1vUzcUCPuOj9-eoHUD85PqINFqUB0TjdSWmR5-c/edit?usp=share_link"",""ยะลา!L336"")+IMPORTRANGE(""https://docs.google.com/spreadsheets/d/1YiDIE7Klmt8osgdapRqYWNr7iPGFSsiJqq46S7PYRE0/edit?usp=share_link"",""ระนอง!L336"")+IMPORTRANGE(""https"&amp;"://docs.google.com/spreadsheets/d/16o_4B-V7AWw_6E93bSpXj_XxVv1oVQctk-B6z1dNEWU/edit?usp=share_link"",""สงขลา!L336"")+IMPORTRANGE(""https://docs.google.com/spreadsheets/d/16cywr71Fj4fA5OGRHsZh30ZG2gwJhMAQv69oVBzYHv0/edit?usp=share_link"",""สตูล!L336"")+IMP"&amp;"ORTRANGE(""https://docs.google.com/spreadsheets/d/1vO9Sws6kMtrVtyvrAJptINXjK8TFBoX9xLYOVK_C8bQ/edit?usp=share_link"",""สุราษฎร์ธานี!L336"")"),0)</f>
        <v>0</v>
      </c>
      <c r="M336" s="45">
        <f ca="1">IFERROR(__xludf.DUMMYFUNCTION("IMPORTRANGE(""https://docs.google.com/spreadsheets/d/1kC41EOXpGBFOW658Fs3oD8beYlym0-zO54WY-2Qnp9I/edit?usp=share_link"",""กระบี่!M336"")
+IMPORTRANGE(""https://docs.google.com/spreadsheets/d/1FbzMZY_f3MDiEuK7RpCQKrilJ_kpX0Wm7QBZ1L7EjIU/edit?usp=share_link"&amp;""",""ชุมพร!M336"")+IMPORTRANGE(""https://docs.google.com/spreadsheets/d/1v5sN-00LrXuhBxw4dkh2GrG_z4l5oAqOdJRBCsUyMaM/edit?usp=share_link"",""ตรัง!M336"")+IMPORTRANGE(""https://docs.google.com/spreadsheets/d/1T5rRTzFc79aSIvqnzkZNvwPstq829QYz_xALlO1Z0s8/edi"&amp;"t?usp=share_link"",""นครศรีธรรมราช!M336"")+IMPORTRANGE(""https://docs.google.com/spreadsheets/d/1BeghqumK0IvCmRd2QOy6_afsZq7ZtAGrSnVJy2u7WmY/edit?usp=share_link"",""นราธิวาส!M336"")+IMPORTRANGE(""https://docs.google.com/spreadsheets/d/1IwnW3-jjRf74MCLW-6P"&amp;"iFwMUffRQXZwZA7YM609NmRc/edit?usp=share_link"",""ปัตตานี!M336"")+IMPORTRANGE(""https://docs.google.com/spreadsheets/d/1vl4QWbWdFruual5o_wdo6ZSqXZ_it806oja4CctTLKs/edit?usp=share_link"",""พังงา!M336"")+IMPORTRANGE(""https://docs.google.com/spreadsheets/d/1"&amp;"b6QssHQp2FoAPSMKHOy273KNzAomaIKhtdlvuZ_zDNE/edit?usp=share_link"",""พัทลุง!M336"")+IMPORTRANGE(""https://docs.google.com/spreadsheets/d/1o7UZe4_OqlqtLDHrj01Z2YFRSZDf1DMy1n3XViHaxRc/edit?usp=share_link"",""ภูเก็ต!M336"")+IMPORTRANGE(""https://docs.google.c"&amp;"om/spreadsheets/d/1ctPm1vUzcUCPuOj9-eoHUD85PqINFqUB0TjdSWmR5-c/edit?usp=share_link"",""ยะลา!M336"")+IMPORTRANGE(""https://docs.google.com/spreadsheets/d/1YiDIE7Klmt8osgdapRqYWNr7iPGFSsiJqq46S7PYRE0/edit?usp=share_link"",""ระนอง!M336"")+IMPORTRANGE(""https"&amp;"://docs.google.com/spreadsheets/d/16o_4B-V7AWw_6E93bSpXj_XxVv1oVQctk-B6z1dNEWU/edit?usp=share_link"",""สงขลา!M336"")+IMPORTRANGE(""https://docs.google.com/spreadsheets/d/16cywr71Fj4fA5OGRHsZh30ZG2gwJhMAQv69oVBzYHv0/edit?usp=share_link"",""สตูล!M336"")+IMP"&amp;"ORTRANGE(""https://docs.google.com/spreadsheets/d/1vO9Sws6kMtrVtyvrAJptINXjK8TFBoX9xLYOVK_C8bQ/edit?usp=share_link"",""สุราษฎร์ธานี!M336"")"),9000)</f>
        <v>9000</v>
      </c>
      <c r="N336" s="45">
        <f ca="1">IFERROR(__xludf.DUMMYFUNCTION("IMPORTRANGE(""https://docs.google.com/spreadsheets/d/1kC41EOXpGBFOW658Fs3oD8beYlym0-zO54WY-2Qnp9I/edit?usp=share_link"",""กระบี่!N336"")
+IMPORTRANGE(""https://docs.google.com/spreadsheets/d/1FbzMZY_f3MDiEuK7RpCQKrilJ_kpX0Wm7QBZ1L7EjIU/edit?usp=share_link"&amp;""",""ชุมพร!N336"")+IMPORTRANGE(""https://docs.google.com/spreadsheets/d/1v5sN-00LrXuhBxw4dkh2GrG_z4l5oAqOdJRBCsUyMaM/edit?usp=share_link"",""ตรัง!N336"")+IMPORTRANGE(""https://docs.google.com/spreadsheets/d/1T5rRTzFc79aSIvqnzkZNvwPstq829QYz_xALlO1Z0s8/edi"&amp;"t?usp=share_link"",""นครศรีธรรมราช!N336"")+IMPORTRANGE(""https://docs.google.com/spreadsheets/d/1BeghqumK0IvCmRd2QOy6_afsZq7ZtAGrSnVJy2u7WmY/edit?usp=share_link"",""นราธิวาส!N336"")+IMPORTRANGE(""https://docs.google.com/spreadsheets/d/1IwnW3-jjRf74MCLW-6P"&amp;"iFwMUffRQXZwZA7YM609NmRc/edit?usp=share_link"",""ปัตตานี!N336"")+IMPORTRANGE(""https://docs.google.com/spreadsheets/d/1vl4QWbWdFruual5o_wdo6ZSqXZ_it806oja4CctTLKs/edit?usp=share_link"",""พังงา!N336"")+IMPORTRANGE(""https://docs.google.com/spreadsheets/d/1"&amp;"b6QssHQp2FoAPSMKHOy273KNzAomaIKhtdlvuZ_zDNE/edit?usp=share_link"",""พัทลุง!N336"")+IMPORTRANGE(""https://docs.google.com/spreadsheets/d/1o7UZe4_OqlqtLDHrj01Z2YFRSZDf1DMy1n3XViHaxRc/edit?usp=share_link"",""ภูเก็ต!N336"")+IMPORTRANGE(""https://docs.google.c"&amp;"om/spreadsheets/d/1ctPm1vUzcUCPuOj9-eoHUD85PqINFqUB0TjdSWmR5-c/edit?usp=share_link"",""ยะลา!N336"")+IMPORTRANGE(""https://docs.google.com/spreadsheets/d/1YiDIE7Klmt8osgdapRqYWNr7iPGFSsiJqq46S7PYRE0/edit?usp=share_link"",""ระนอง!N336"")+IMPORTRANGE(""https"&amp;"://docs.google.com/spreadsheets/d/16o_4B-V7AWw_6E93bSpXj_XxVv1oVQctk-B6z1dNEWU/edit?usp=share_link"",""สงขลา!N336"")+IMPORTRANGE(""https://docs.google.com/spreadsheets/d/16cywr71Fj4fA5OGRHsZh30ZG2gwJhMAQv69oVBzYHv0/edit?usp=share_link"",""สตูล!N336"")+IMP"&amp;"ORTRANGE(""https://docs.google.com/spreadsheets/d/1vO9Sws6kMtrVtyvrAJptINXjK8TFBoX9xLYOVK_C8bQ/edit?usp=share_link"",""สุราษฎร์ธานี!N336"")"),0)</f>
        <v>0</v>
      </c>
      <c r="O336" s="45">
        <f t="shared" ca="1" si="175"/>
        <v>0</v>
      </c>
      <c r="P336" s="45">
        <f t="shared" ca="1" si="176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IFERROR(__xludf.DUMMYFUNCTION("IMPORTRANGE(""https://docs.google.com/spreadsheets/d/1kC41EOXpGBFOW658Fs3oD8beYlym0-zO54WY-2Qnp9I/edit?usp=share_link"",""กระบี่!I338"")
+IMPORTRANGE(""https://docs.google.com/spreadsheets/d/1FbzMZY_f3MDiEuK7RpCQKrilJ_kpX0Wm7QBZ1L7EjIU/edit?usp=share_link"&amp;""",""ชุมพร!I338"")+IMPORTRANGE(""https://docs.google.com/spreadsheets/d/1v5sN-00LrXuhBxw4dkh2GrG_z4l5oAqOdJRBCsUyMaM/edit?usp=share_link"",""ตรัง!I338"")+IMPORTRANGE(""https://docs.google.com/spreadsheets/d/1T5rRTzFc79aSIvqnzkZNvwPstq829QYz_xALlO1Z0s8/edi"&amp;"t?usp=share_link"",""นครศรีธรรมราช!I338"")+IMPORTRANGE(""https://docs.google.com/spreadsheets/d/1BeghqumK0IvCmRd2QOy6_afsZq7ZtAGrSnVJy2u7WmY/edit?usp=share_link"",""นราธิวาส!I338"")+IMPORTRANGE(""https://docs.google.com/spreadsheets/d/1IwnW3-jjRf74MCLW-6P"&amp;"iFwMUffRQXZwZA7YM609NmRc/edit?usp=share_link"",""ปัตตานี!I338"")+IMPORTRANGE(""https://docs.google.com/spreadsheets/d/1vl4QWbWdFruual5o_wdo6ZSqXZ_it806oja4CctTLKs/edit?usp=share_link"",""พังงา!I338"")+IMPORTRANGE(""https://docs.google.com/spreadsheets/d/1"&amp;"b6QssHQp2FoAPSMKHOy273KNzAomaIKhtdlvuZ_zDNE/edit?usp=share_link"",""พัทลุง!I338"")+IMPORTRANGE(""https://docs.google.com/spreadsheets/d/1o7UZe4_OqlqtLDHrj01Z2YFRSZDf1DMy1n3XViHaxRc/edit?usp=share_link"",""ภูเก็ต!I338"")+IMPORTRANGE(""https://docs.google.c"&amp;"om/spreadsheets/d/1ctPm1vUzcUCPuOj9-eoHUD85PqINFqUB0TjdSWmR5-c/edit?usp=share_link"",""ยะลา!I338"")+IMPORTRANGE(""https://docs.google.com/spreadsheets/d/1YiDIE7Klmt8osgdapRqYWNr7iPGFSsiJqq46S7PYRE0/edit?usp=share_link"",""ระนอง!I338"")+IMPORTRANGE(""https"&amp;"://docs.google.com/spreadsheets/d/16o_4B-V7AWw_6E93bSpXj_XxVv1oVQctk-B6z1dNEWU/edit?usp=share_link"",""สงขลา!I338"")+IMPORTRANGE(""https://docs.google.com/spreadsheets/d/16cywr71Fj4fA5OGRHsZh30ZG2gwJhMAQv69oVBzYHv0/edit?usp=share_link"",""สตูล!I338"")+IMP"&amp;"ORTRANGE(""https://docs.google.com/spreadsheets/d/1vO9Sws6kMtrVtyvrAJptINXjK8TFBoX9xLYOVK_C8bQ/edit?usp=share_link"",""สุราษฎร์ธานี!I338"")"),18180)</f>
        <v>18180</v>
      </c>
      <c r="J338" s="270">
        <f ca="1">IFERROR(__xludf.DUMMYFUNCTION("IMPORTRANGE(""https://docs.google.com/spreadsheets/d/1kC41EOXpGBFOW658Fs3oD8beYlym0-zO54WY-2Qnp9I/edit?usp=share_link"",""กระบี่!J338"")
+IMPORTRANGE(""https://docs.google.com/spreadsheets/d/1FbzMZY_f3MDiEuK7RpCQKrilJ_kpX0Wm7QBZ1L7EjIU/edit?usp=share_link"&amp;""",""ชุมพร!J338"")+IMPORTRANGE(""https://docs.google.com/spreadsheets/d/1v5sN-00LrXuhBxw4dkh2GrG_z4l5oAqOdJRBCsUyMaM/edit?usp=share_link"",""ตรัง!J338"")+IMPORTRANGE(""https://docs.google.com/spreadsheets/d/1T5rRTzFc79aSIvqnzkZNvwPstq829QYz_xALlO1Z0s8/edi"&amp;"t?usp=share_link"",""นครศรีธรรมราช!J338"")+IMPORTRANGE(""https://docs.google.com/spreadsheets/d/1BeghqumK0IvCmRd2QOy6_afsZq7ZtAGrSnVJy2u7WmY/edit?usp=share_link"",""นราธิวาส!J338"")+IMPORTRANGE(""https://docs.google.com/spreadsheets/d/1IwnW3-jjRf74MCLW-6P"&amp;"iFwMUffRQXZwZA7YM609NmRc/edit?usp=share_link"",""ปัตตานี!J338"")+IMPORTRANGE(""https://docs.google.com/spreadsheets/d/1vl4QWbWdFruual5o_wdo6ZSqXZ_it806oja4CctTLKs/edit?usp=share_link"",""พังงา!J338"")+IMPORTRANGE(""https://docs.google.com/spreadsheets/d/1"&amp;"b6QssHQp2FoAPSMKHOy273KNzAomaIKhtdlvuZ_zDNE/edit?usp=share_link"",""พัทลุง!J338"")+IMPORTRANGE(""https://docs.google.com/spreadsheets/d/1o7UZe4_OqlqtLDHrj01Z2YFRSZDf1DMy1n3XViHaxRc/edit?usp=share_link"",""ภูเก็ต!J338"")+IMPORTRANGE(""https://docs.google.c"&amp;"om/spreadsheets/d/1ctPm1vUzcUCPuOj9-eoHUD85PqINFqUB0TjdSWmR5-c/edit?usp=share_link"",""ยะลา!J338"")+IMPORTRANGE(""https://docs.google.com/spreadsheets/d/1YiDIE7Klmt8osgdapRqYWNr7iPGFSsiJqq46S7PYRE0/edit?usp=share_link"",""ระนอง!J338"")+IMPORTRANGE(""https"&amp;"://docs.google.com/spreadsheets/d/16o_4B-V7AWw_6E93bSpXj_XxVv1oVQctk-B6z1dNEWU/edit?usp=share_link"",""สงขลา!J338"")+IMPORTRANGE(""https://docs.google.com/spreadsheets/d/16cywr71Fj4fA5OGRHsZh30ZG2gwJhMAQv69oVBzYHv0/edit?usp=share_link"",""สตูล!J338"")+IMP"&amp;"ORTRANGE(""https://docs.google.com/spreadsheets/d/1vO9Sws6kMtrVtyvrAJptINXjK8TFBoX9xLYOVK_C8bQ/edit?usp=share_link"",""สุราษฎร์ธานี!J338"")"),33363)</f>
        <v>33363</v>
      </c>
      <c r="K338" s="38">
        <f ca="1">IF(I338&gt;0,J338*100/I338,0)</f>
        <v>183.51485148514851</v>
      </c>
      <c r="L338" s="38"/>
      <c r="M338" s="38"/>
      <c r="N338" s="38"/>
      <c r="O338" s="38"/>
      <c r="P338" s="38"/>
    </row>
    <row r="339" spans="1:26" ht="20.25" customHeight="1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IFERROR(__xludf.DUMMYFUNCTION("IMPORTRANGE(""https://docs.google.com/spreadsheets/d/1kC41EOXpGBFOW658Fs3oD8beYlym0-zO54WY-2Qnp9I/edit?usp=share_link"",""กระบี่!I340"")
+IMPORTRANGE(""https://docs.google.com/spreadsheets/d/1FbzMZY_f3MDiEuK7RpCQKrilJ_kpX0Wm7QBZ1L7EjIU/edit?usp=share_link"&amp;""",""ชุมพร!I340"")+IMPORTRANGE(""https://docs.google.com/spreadsheets/d/1v5sN-00LrXuhBxw4dkh2GrG_z4l5oAqOdJRBCsUyMaM/edit?usp=share_link"",""ตรัง!I340"")+IMPORTRANGE(""https://docs.google.com/spreadsheets/d/1T5rRTzFc79aSIvqnzkZNvwPstq829QYz_xALlO1Z0s8/edi"&amp;"t?usp=share_link"",""นครศรีธรรมราช!I340"")+IMPORTRANGE(""https://docs.google.com/spreadsheets/d/1BeghqumK0IvCmRd2QOy6_afsZq7ZtAGrSnVJy2u7WmY/edit?usp=share_link"",""นราธิวาส!I340"")+IMPORTRANGE(""https://docs.google.com/spreadsheets/d/1IwnW3-jjRf74MCLW-6P"&amp;"iFwMUffRQXZwZA7YM609NmRc/edit?usp=share_link"",""ปัตตานี!I340"")+IMPORTRANGE(""https://docs.google.com/spreadsheets/d/1vl4QWbWdFruual5o_wdo6ZSqXZ_it806oja4CctTLKs/edit?usp=share_link"",""พังงา!I340"")+IMPORTRANGE(""https://docs.google.com/spreadsheets/d/1"&amp;"b6QssHQp2FoAPSMKHOy273KNzAomaIKhtdlvuZ_zDNE/edit?usp=share_link"",""พัทลุง!I340"")+IMPORTRANGE(""https://docs.google.com/spreadsheets/d/1o7UZe4_OqlqtLDHrj01Z2YFRSZDf1DMy1n3XViHaxRc/edit?usp=share_link"",""ภูเก็ต!I340"")+IMPORTRANGE(""https://docs.google.c"&amp;"om/spreadsheets/d/1ctPm1vUzcUCPuOj9-eoHUD85PqINFqUB0TjdSWmR5-c/edit?usp=share_link"",""ยะลา!I340"")+IMPORTRANGE(""https://docs.google.com/spreadsheets/d/1YiDIE7Klmt8osgdapRqYWNr7iPGFSsiJqq46S7PYRE0/edit?usp=share_link"",""ระนอง!I340"")+IMPORTRANGE(""https"&amp;"://docs.google.com/spreadsheets/d/16o_4B-V7AWw_6E93bSpXj_XxVv1oVQctk-B6z1dNEWU/edit?usp=share_link"",""สงขลา!I340"")+IMPORTRANGE(""https://docs.google.com/spreadsheets/d/16cywr71Fj4fA5OGRHsZh30ZG2gwJhMAQv69oVBzYHv0/edit?usp=share_link"",""สตูล!I340"")+IMP"&amp;"ORTRANGE(""https://docs.google.com/spreadsheets/d/1vO9Sws6kMtrVtyvrAJptINXjK8TFBoX9xLYOVK_C8bQ/edit?usp=share_link"",""สุราษฎร์ธานี!I340"")"),55)</f>
        <v>55</v>
      </c>
      <c r="J340" s="270">
        <f ca="1">IFERROR(__xludf.DUMMYFUNCTION("IMPORTRANGE(""https://docs.google.com/spreadsheets/d/1kC41EOXpGBFOW658Fs3oD8beYlym0-zO54WY-2Qnp9I/edit?usp=share_link"",""กระบี่!J340"")
+IMPORTRANGE(""https://docs.google.com/spreadsheets/d/1FbzMZY_f3MDiEuK7RpCQKrilJ_kpX0Wm7QBZ1L7EjIU/edit?usp=share_link"&amp;""",""ชุมพร!J340"")+IMPORTRANGE(""https://docs.google.com/spreadsheets/d/1v5sN-00LrXuhBxw4dkh2GrG_z4l5oAqOdJRBCsUyMaM/edit?usp=share_link"",""ตรัง!J340"")+IMPORTRANGE(""https://docs.google.com/spreadsheets/d/1T5rRTzFc79aSIvqnzkZNvwPstq829QYz_xALlO1Z0s8/edi"&amp;"t?usp=share_link"",""นครศรีธรรมราช!J340"")+IMPORTRANGE(""https://docs.google.com/spreadsheets/d/1BeghqumK0IvCmRd2QOy6_afsZq7ZtAGrSnVJy2u7WmY/edit?usp=share_link"",""นราธิวาส!J340"")+IMPORTRANGE(""https://docs.google.com/spreadsheets/d/1IwnW3-jjRf74MCLW-6P"&amp;"iFwMUffRQXZwZA7YM609NmRc/edit?usp=share_link"",""ปัตตานี!J340"")+IMPORTRANGE(""https://docs.google.com/spreadsheets/d/1vl4QWbWdFruual5o_wdo6ZSqXZ_it806oja4CctTLKs/edit?usp=share_link"",""พังงา!J340"")+IMPORTRANGE(""https://docs.google.com/spreadsheets/d/1"&amp;"b6QssHQp2FoAPSMKHOy273KNzAomaIKhtdlvuZ_zDNE/edit?usp=share_link"",""พัทลุง!J340"")+IMPORTRANGE(""https://docs.google.com/spreadsheets/d/1o7UZe4_OqlqtLDHrj01Z2YFRSZDf1DMy1n3XViHaxRc/edit?usp=share_link"",""ภูเก็ต!J340"")+IMPORTRANGE(""https://docs.google.c"&amp;"om/spreadsheets/d/1ctPm1vUzcUCPuOj9-eoHUD85PqINFqUB0TjdSWmR5-c/edit?usp=share_link"",""ยะลา!J340"")+IMPORTRANGE(""https://docs.google.com/spreadsheets/d/1YiDIE7Klmt8osgdapRqYWNr7iPGFSsiJqq46S7PYRE0/edit?usp=share_link"",""ระนอง!J340"")+IMPORTRANGE(""https"&amp;"://docs.google.com/spreadsheets/d/16o_4B-V7AWw_6E93bSpXj_XxVv1oVQctk-B6z1dNEWU/edit?usp=share_link"",""สงขลา!J340"")+IMPORTRANGE(""https://docs.google.com/spreadsheets/d/16cywr71Fj4fA5OGRHsZh30ZG2gwJhMAQv69oVBzYHv0/edit?usp=share_link"",""สตูล!J340"")+IMP"&amp;"ORTRANGE(""https://docs.google.com/spreadsheets/d/1vO9Sws6kMtrVtyvrAJptINXjK8TFBoX9xLYOVK_C8bQ/edit?usp=share_link"",""สุราษฎร์ธานี!J340"")"),47)</f>
        <v>47</v>
      </c>
      <c r="K340" s="38">
        <f ca="1">IF(I340&gt;0,J340*100/I340,0)</f>
        <v>85.454545454545453</v>
      </c>
      <c r="L340" s="38"/>
      <c r="M340" s="38"/>
      <c r="N340" s="38"/>
      <c r="O340" s="38"/>
      <c r="P340" s="38"/>
    </row>
    <row r="341" spans="1:26" ht="20.25" customHeight="1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IFERROR(__xludf.DUMMYFUNCTION("IMPORTRANGE(""https://docs.google.com/spreadsheets/d/1kC41EOXpGBFOW658Fs3oD8beYlym0-zO54WY-2Qnp9I/edit?usp=share_link"",""กระบี่!J341"")
+IMPORTRANGE(""https://docs.google.com/spreadsheets/d/1FbzMZY_f3MDiEuK7RpCQKrilJ_kpX0Wm7QBZ1L7EjIU/edit?usp=share_link"&amp;""",""ชุมพร!J341"")+IMPORTRANGE(""https://docs.google.com/spreadsheets/d/1v5sN-00LrXuhBxw4dkh2GrG_z4l5oAqOdJRBCsUyMaM/edit?usp=share_link"",""ตรัง!J341"")+IMPORTRANGE(""https://docs.google.com/spreadsheets/d/1T5rRTzFc79aSIvqnzkZNvwPstq829QYz_xALlO1Z0s8/edi"&amp;"t?usp=share_link"",""นครศรีธรรมราช!J341"")+IMPORTRANGE(""https://docs.google.com/spreadsheets/d/1BeghqumK0IvCmRd2QOy6_afsZq7ZtAGrSnVJy2u7WmY/edit?usp=share_link"",""นราธิวาส!J341"")+IMPORTRANGE(""https://docs.google.com/spreadsheets/d/1IwnW3-jjRf74MCLW-6P"&amp;"iFwMUffRQXZwZA7YM609NmRc/edit?usp=share_link"",""ปัตตานี!J341"")+IMPORTRANGE(""https://docs.google.com/spreadsheets/d/1vl4QWbWdFruual5o_wdo6ZSqXZ_it806oja4CctTLKs/edit?usp=share_link"",""พังงา!J341"")+IMPORTRANGE(""https://docs.google.com/spreadsheets/d/1"&amp;"b6QssHQp2FoAPSMKHOy273KNzAomaIKhtdlvuZ_zDNE/edit?usp=share_link"",""พัทลุง!J341"")+IMPORTRANGE(""https://docs.google.com/spreadsheets/d/1o7UZe4_OqlqtLDHrj01Z2YFRSZDf1DMy1n3XViHaxRc/edit?usp=share_link"",""ภูเก็ต!J341"")+IMPORTRANGE(""https://docs.google.c"&amp;"om/spreadsheets/d/1ctPm1vUzcUCPuOj9-eoHUD85PqINFqUB0TjdSWmR5-c/edit?usp=share_link"",""ยะลา!J341"")+IMPORTRANGE(""https://docs.google.com/spreadsheets/d/1YiDIE7Klmt8osgdapRqYWNr7iPGFSsiJqq46S7PYRE0/edit?usp=share_link"",""ระนอง!J341"")+IMPORTRANGE(""https"&amp;"://docs.google.com/spreadsheets/d/16o_4B-V7AWw_6E93bSpXj_XxVv1oVQctk-B6z1dNEWU/edit?usp=share_link"",""สงขลา!J341"")+IMPORTRANGE(""https://docs.google.com/spreadsheets/d/16cywr71Fj4fA5OGRHsZh30ZG2gwJhMAQv69oVBzYHv0/edit?usp=share_link"",""สตูล!J341"")+IMP"&amp;"ORTRANGE(""https://docs.google.com/spreadsheets/d/1vO9Sws6kMtrVtyvrAJptINXjK8TFBoX9xLYOVK_C8bQ/edit?usp=share_link"",""สุราษฎร์ธานี!J341"")"),1673)</f>
        <v>1673</v>
      </c>
      <c r="K341" s="38"/>
      <c r="L341" s="38"/>
      <c r="M341" s="38"/>
      <c r="N341" s="38"/>
      <c r="O341" s="38"/>
      <c r="P341" s="38"/>
    </row>
    <row r="342" spans="1:26" ht="20.25" customHeight="1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IFERROR(__xludf.DUMMYFUNCTION("IMPORTRANGE(""https://docs.google.com/spreadsheets/d/1kC41EOXpGBFOW658Fs3oD8beYlym0-zO54WY-2Qnp9I/edit?usp=share_link"",""กระบี่!J342"")
+IMPORTRANGE(""https://docs.google.com/spreadsheets/d/1FbzMZY_f3MDiEuK7RpCQKrilJ_kpX0Wm7QBZ1L7EjIU/edit?usp=share_link"&amp;""",""ชุมพร!J342"")+IMPORTRANGE(""https://docs.google.com/spreadsheets/d/1v5sN-00LrXuhBxw4dkh2GrG_z4l5oAqOdJRBCsUyMaM/edit?usp=share_link"",""ตรัง!J342"")+IMPORTRANGE(""https://docs.google.com/spreadsheets/d/1T5rRTzFc79aSIvqnzkZNvwPstq829QYz_xALlO1Z0s8/edi"&amp;"t?usp=share_link"",""นครศรีธรรมราช!J342"")+IMPORTRANGE(""https://docs.google.com/spreadsheets/d/1BeghqumK0IvCmRd2QOy6_afsZq7ZtAGrSnVJy2u7WmY/edit?usp=share_link"",""นราธิวาส!J342"")+IMPORTRANGE(""https://docs.google.com/spreadsheets/d/1IwnW3-jjRf74MCLW-6P"&amp;"iFwMUffRQXZwZA7YM609NmRc/edit?usp=share_link"",""ปัตตานี!J342"")+IMPORTRANGE(""https://docs.google.com/spreadsheets/d/1vl4QWbWdFruual5o_wdo6ZSqXZ_it806oja4CctTLKs/edit?usp=share_link"",""พังงา!J342"")+IMPORTRANGE(""https://docs.google.com/spreadsheets/d/1"&amp;"b6QssHQp2FoAPSMKHOy273KNzAomaIKhtdlvuZ_zDNE/edit?usp=share_link"",""พัทลุง!J342"")+IMPORTRANGE(""https://docs.google.com/spreadsheets/d/1o7UZe4_OqlqtLDHrj01Z2YFRSZDf1DMy1n3XViHaxRc/edit?usp=share_link"",""ภูเก็ต!J342"")+IMPORTRANGE(""https://docs.google.c"&amp;"om/spreadsheets/d/1ctPm1vUzcUCPuOj9-eoHUD85PqINFqUB0TjdSWmR5-c/edit?usp=share_link"",""ยะลา!J342"")+IMPORTRANGE(""https://docs.google.com/spreadsheets/d/1YiDIE7Klmt8osgdapRqYWNr7iPGFSsiJqq46S7PYRE0/edit?usp=share_link"",""ระนอง!J342"")+IMPORTRANGE(""https"&amp;"://docs.google.com/spreadsheets/d/16o_4B-V7AWw_6E93bSpXj_XxVv1oVQctk-B6z1dNEWU/edit?usp=share_link"",""สงขลา!J342"")+IMPORTRANGE(""https://docs.google.com/spreadsheets/d/16cywr71Fj4fA5OGRHsZh30ZG2gwJhMAQv69oVBzYHv0/edit?usp=share_link"",""สตูล!J342"")+IMP"&amp;"ORTRANGE(""https://docs.google.com/spreadsheets/d/1vO9Sws6kMtrVtyvrAJptINXjK8TFBoX9xLYOVK_C8bQ/edit?usp=share_link"",""สุราษฎร์ธานี!J342"")"),2)</f>
        <v>2</v>
      </c>
      <c r="K342" s="38"/>
      <c r="L342" s="38"/>
      <c r="M342" s="38"/>
      <c r="N342" s="38"/>
      <c r="O342" s="38"/>
      <c r="P342" s="38"/>
    </row>
    <row r="343" spans="1:26" ht="20.25" customHeight="1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IFERROR(__xludf.DUMMYFUNCTION("IMPORTRANGE(""https://docs.google.com/spreadsheets/d/1kC41EOXpGBFOW658Fs3oD8beYlym0-zO54WY-2Qnp9I/edit?usp=share_link"",""กระบี่!J343"")
+IMPORTRANGE(""https://docs.google.com/spreadsheets/d/1FbzMZY_f3MDiEuK7RpCQKrilJ_kpX0Wm7QBZ1L7EjIU/edit?usp=share_link"&amp;""",""ชุมพร!J343"")+IMPORTRANGE(""https://docs.google.com/spreadsheets/d/1v5sN-00LrXuhBxw4dkh2GrG_z4l5oAqOdJRBCsUyMaM/edit?usp=share_link"",""ตรัง!J343"")+IMPORTRANGE(""https://docs.google.com/spreadsheets/d/1T5rRTzFc79aSIvqnzkZNvwPstq829QYz_xALlO1Z0s8/edi"&amp;"t?usp=share_link"",""นครศรีธรรมราช!J343"")+IMPORTRANGE(""https://docs.google.com/spreadsheets/d/1BeghqumK0IvCmRd2QOy6_afsZq7ZtAGrSnVJy2u7WmY/edit?usp=share_link"",""นราธิวาส!J343"")+IMPORTRANGE(""https://docs.google.com/spreadsheets/d/1IwnW3-jjRf74MCLW-6P"&amp;"iFwMUffRQXZwZA7YM609NmRc/edit?usp=share_link"",""ปัตตานี!J343"")+IMPORTRANGE(""https://docs.google.com/spreadsheets/d/1vl4QWbWdFruual5o_wdo6ZSqXZ_it806oja4CctTLKs/edit?usp=share_link"",""พังงา!J343"")+IMPORTRANGE(""https://docs.google.com/spreadsheets/d/1"&amp;"b6QssHQp2FoAPSMKHOy273KNzAomaIKhtdlvuZ_zDNE/edit?usp=share_link"",""พัทลุง!J343"")+IMPORTRANGE(""https://docs.google.com/spreadsheets/d/1o7UZe4_OqlqtLDHrj01Z2YFRSZDf1DMy1n3XViHaxRc/edit?usp=share_link"",""ภูเก็ต!J343"")+IMPORTRANGE(""https://docs.google.c"&amp;"om/spreadsheets/d/1ctPm1vUzcUCPuOj9-eoHUD85PqINFqUB0TjdSWmR5-c/edit?usp=share_link"",""ยะลา!J343"")+IMPORTRANGE(""https://docs.google.com/spreadsheets/d/1YiDIE7Klmt8osgdapRqYWNr7iPGFSsiJqq46S7PYRE0/edit?usp=share_link"",""ระนอง!J343"")+IMPORTRANGE(""https"&amp;"://docs.google.com/spreadsheets/d/16o_4B-V7AWw_6E93bSpXj_XxVv1oVQctk-B6z1dNEWU/edit?usp=share_link"",""สงขลา!J343"")+IMPORTRANGE(""https://docs.google.com/spreadsheets/d/16cywr71Fj4fA5OGRHsZh30ZG2gwJhMAQv69oVBzYHv0/edit?usp=share_link"",""สตูล!J343"")+IMP"&amp;"ORTRANGE(""https://docs.google.com/spreadsheets/d/1vO9Sws6kMtrVtyvrAJptINXjK8TFBoX9xLYOVK_C8bQ/edit?usp=share_link"",""สุราษฎร์ธานี!J343"")"),54)</f>
        <v>54</v>
      </c>
      <c r="K343" s="38"/>
      <c r="L343" s="38"/>
      <c r="M343" s="38"/>
      <c r="N343" s="38"/>
      <c r="O343" s="38"/>
      <c r="P343" s="38"/>
    </row>
    <row r="344" spans="1:26" ht="20.25" customHeight="1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10140670</v>
      </c>
      <c r="M345" s="155">
        <f t="shared" ca="1" si="181"/>
        <v>11542980</v>
      </c>
      <c r="N345" s="155">
        <f t="shared" ca="1" si="181"/>
        <v>8164652.5700000003</v>
      </c>
      <c r="O345" s="155">
        <f t="shared" ref="O345:O353" ca="1" si="182">IF(L345&gt;0,N345*100/L345,0)</f>
        <v>80.513936160036764</v>
      </c>
      <c r="P345" s="155">
        <f t="shared" ref="P345:P353" ca="1" si="183">IF(M345&gt;0,N345*100/M345,0)</f>
        <v>70.732623378018502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10140670</v>
      </c>
      <c r="M347" s="45">
        <f t="shared" ca="1" si="185"/>
        <v>11542980</v>
      </c>
      <c r="N347" s="45">
        <f t="shared" ca="1" si="185"/>
        <v>8164652.5700000003</v>
      </c>
      <c r="O347" s="45">
        <f t="shared" ca="1" si="182"/>
        <v>80.513936160036764</v>
      </c>
      <c r="P347" s="45">
        <f t="shared" ca="1" si="183"/>
        <v>70.732623378018502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8808470</v>
      </c>
      <c r="M348" s="38">
        <f t="shared" ca="1" si="186"/>
        <v>10195770</v>
      </c>
      <c r="N348" s="38">
        <f t="shared" ca="1" si="186"/>
        <v>6859842.5700000003</v>
      </c>
      <c r="O348" s="38">
        <f t="shared" ca="1" si="182"/>
        <v>77.877799095643169</v>
      </c>
      <c r="P348" s="38">
        <f t="shared" ca="1" si="183"/>
        <v>67.281260463898263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IFERROR(__xludf.DUMMYFUNCTION("IMPORTRANGE(""https://docs.google.com/spreadsheets/d/1kC41EOXpGBFOW658Fs3oD8beYlym0-zO54WY-2Qnp9I/edit?usp=share_link"",""กระบี่!L350"")
+IMPORTRANGE(""https://docs.google.com/spreadsheets/d/1FbzMZY_f3MDiEuK7RpCQKrilJ_kpX0Wm7QBZ1L7EjIU/edit?usp=share_link"&amp;""",""ชุมพร!L350"")+IMPORTRANGE(""https://docs.google.com/spreadsheets/d/1v5sN-00LrXuhBxw4dkh2GrG_z4l5oAqOdJRBCsUyMaM/edit?usp=share_link"",""ตรัง!L350"")+IMPORTRANGE(""https://docs.google.com/spreadsheets/d/1T5rRTzFc79aSIvqnzkZNvwPstq829QYz_xALlO1Z0s8/edi"&amp;"t?usp=share_link"",""นครศรีธรรมราช!L350"")+IMPORTRANGE(""https://docs.google.com/spreadsheets/d/1BeghqumK0IvCmRd2QOy6_afsZq7ZtAGrSnVJy2u7WmY/edit?usp=share_link"",""นราธิวาส!L350"")+IMPORTRANGE(""https://docs.google.com/spreadsheets/d/1IwnW3-jjRf74MCLW-6P"&amp;"iFwMUffRQXZwZA7YM609NmRc/edit?usp=share_link"",""ปัตตานี!L350"")+IMPORTRANGE(""https://docs.google.com/spreadsheets/d/1vl4QWbWdFruual5o_wdo6ZSqXZ_it806oja4CctTLKs/edit?usp=share_link"",""พังงา!L350"")+IMPORTRANGE(""https://docs.google.com/spreadsheets/d/1"&amp;"b6QssHQp2FoAPSMKHOy273KNzAomaIKhtdlvuZ_zDNE/edit?usp=share_link"",""พัทลุง!L350"")+IMPORTRANGE(""https://docs.google.com/spreadsheets/d/1o7UZe4_OqlqtLDHrj01Z2YFRSZDf1DMy1n3XViHaxRc/edit?usp=share_link"",""ภูเก็ต!L350"")+IMPORTRANGE(""https://docs.google.c"&amp;"om/spreadsheets/d/1ctPm1vUzcUCPuOj9-eoHUD85PqINFqUB0TjdSWmR5-c/edit?usp=share_link"",""ยะลา!L350"")+IMPORTRANGE(""https://docs.google.com/spreadsheets/d/1YiDIE7Klmt8osgdapRqYWNr7iPGFSsiJqq46S7PYRE0/edit?usp=share_link"",""ระนอง!L350"")+IMPORTRANGE(""https"&amp;"://docs.google.com/spreadsheets/d/16o_4B-V7AWw_6E93bSpXj_XxVv1oVQctk-B6z1dNEWU/edit?usp=share_link"",""สงขลา!L350"")+IMPORTRANGE(""https://docs.google.com/spreadsheets/d/16cywr71Fj4fA5OGRHsZh30ZG2gwJhMAQv69oVBzYHv0/edit?usp=share_link"",""สตูล!L350"")+IMP"&amp;"ORTRANGE(""https://docs.google.com/spreadsheets/d/1vO9Sws6kMtrVtyvrAJptINXjK8TFBoX9xLYOVK_C8bQ/edit?usp=share_link"",""สุราษฎร์ธานี!L350"")"),8808470)</f>
        <v>8808470</v>
      </c>
      <c r="M350" s="45">
        <f ca="1">IFERROR(__xludf.DUMMYFUNCTION("IMPORTRANGE(""https://docs.google.com/spreadsheets/d/1kC41EOXpGBFOW658Fs3oD8beYlym0-zO54WY-2Qnp9I/edit?usp=share_link"",""กระบี่!M350"")
+IMPORTRANGE(""https://docs.google.com/spreadsheets/d/1FbzMZY_f3MDiEuK7RpCQKrilJ_kpX0Wm7QBZ1L7EjIU/edit?usp=share_link"&amp;""",""ชุมพร!M350"")+IMPORTRANGE(""https://docs.google.com/spreadsheets/d/1v5sN-00LrXuhBxw4dkh2GrG_z4l5oAqOdJRBCsUyMaM/edit?usp=share_link"",""ตรัง!M350"")+IMPORTRANGE(""https://docs.google.com/spreadsheets/d/1T5rRTzFc79aSIvqnzkZNvwPstq829QYz_xALlO1Z0s8/edi"&amp;"t?usp=share_link"",""นครศรีธรรมราช!M350"")+IMPORTRANGE(""https://docs.google.com/spreadsheets/d/1BeghqumK0IvCmRd2QOy6_afsZq7ZtAGrSnVJy2u7WmY/edit?usp=share_link"",""นราธิวาส!M350"")+IMPORTRANGE(""https://docs.google.com/spreadsheets/d/1IwnW3-jjRf74MCLW-6P"&amp;"iFwMUffRQXZwZA7YM609NmRc/edit?usp=share_link"",""ปัตตานี!M350"")+IMPORTRANGE(""https://docs.google.com/spreadsheets/d/1vl4QWbWdFruual5o_wdo6ZSqXZ_it806oja4CctTLKs/edit?usp=share_link"",""พังงา!M350"")+IMPORTRANGE(""https://docs.google.com/spreadsheets/d/1"&amp;"b6QssHQp2FoAPSMKHOy273KNzAomaIKhtdlvuZ_zDNE/edit?usp=share_link"",""พัทลุง!M350"")+IMPORTRANGE(""https://docs.google.com/spreadsheets/d/1o7UZe4_OqlqtLDHrj01Z2YFRSZDf1DMy1n3XViHaxRc/edit?usp=share_link"",""ภูเก็ต!M350"")+IMPORTRANGE(""https://docs.google.c"&amp;"om/spreadsheets/d/1ctPm1vUzcUCPuOj9-eoHUD85PqINFqUB0TjdSWmR5-c/edit?usp=share_link"",""ยะลา!M350"")+IMPORTRANGE(""https://docs.google.com/spreadsheets/d/1YiDIE7Klmt8osgdapRqYWNr7iPGFSsiJqq46S7PYRE0/edit?usp=share_link"",""ระนอง!M350"")+IMPORTRANGE(""https"&amp;"://docs.google.com/spreadsheets/d/16o_4B-V7AWw_6E93bSpXj_XxVv1oVQctk-B6z1dNEWU/edit?usp=share_link"",""สงขลา!M350"")+IMPORTRANGE(""https://docs.google.com/spreadsheets/d/16cywr71Fj4fA5OGRHsZh30ZG2gwJhMAQv69oVBzYHv0/edit?usp=share_link"",""สตูล!M350"")+IMP"&amp;"ORTRANGE(""https://docs.google.com/spreadsheets/d/1vO9Sws6kMtrVtyvrAJptINXjK8TFBoX9xLYOVK_C8bQ/edit?usp=share_link"",""สุราษฎร์ธานี!M350"")"),10195770)</f>
        <v>10195770</v>
      </c>
      <c r="N350" s="45">
        <f ca="1">IFERROR(__xludf.DUMMYFUNCTION("IMPORTRANGE(""https://docs.google.com/spreadsheets/d/1kC41EOXpGBFOW658Fs3oD8beYlym0-zO54WY-2Qnp9I/edit?usp=share_link"",""กระบี่!N350"")
+IMPORTRANGE(""https://docs.google.com/spreadsheets/d/1FbzMZY_f3MDiEuK7RpCQKrilJ_kpX0Wm7QBZ1L7EjIU/edit?usp=share_link"&amp;""",""ชุมพร!N350"")+IMPORTRANGE(""https://docs.google.com/spreadsheets/d/1v5sN-00LrXuhBxw4dkh2GrG_z4l5oAqOdJRBCsUyMaM/edit?usp=share_link"",""ตรัง!N350"")+IMPORTRANGE(""https://docs.google.com/spreadsheets/d/1T5rRTzFc79aSIvqnzkZNvwPstq829QYz_xALlO1Z0s8/edi"&amp;"t?usp=share_link"",""นครศรีธรรมราช!N350"")+IMPORTRANGE(""https://docs.google.com/spreadsheets/d/1BeghqumK0IvCmRd2QOy6_afsZq7ZtAGrSnVJy2u7WmY/edit?usp=share_link"",""นราธิวาส!N350"")+IMPORTRANGE(""https://docs.google.com/spreadsheets/d/1IwnW3-jjRf74MCLW-6P"&amp;"iFwMUffRQXZwZA7YM609NmRc/edit?usp=share_link"",""ปัตตานี!N350"")+IMPORTRANGE(""https://docs.google.com/spreadsheets/d/1vl4QWbWdFruual5o_wdo6ZSqXZ_it806oja4CctTLKs/edit?usp=share_link"",""พังงา!N350"")+IMPORTRANGE(""https://docs.google.com/spreadsheets/d/1"&amp;"b6QssHQp2FoAPSMKHOy273KNzAomaIKhtdlvuZ_zDNE/edit?usp=share_link"",""พัทลุง!N350"")+IMPORTRANGE(""https://docs.google.com/spreadsheets/d/1o7UZe4_OqlqtLDHrj01Z2YFRSZDf1DMy1n3XViHaxRc/edit?usp=share_link"",""ภูเก็ต!N350"")+IMPORTRANGE(""https://docs.google.c"&amp;"om/spreadsheets/d/1ctPm1vUzcUCPuOj9-eoHUD85PqINFqUB0TjdSWmR5-c/edit?usp=share_link"",""ยะลา!N350"")+IMPORTRANGE(""https://docs.google.com/spreadsheets/d/1YiDIE7Klmt8osgdapRqYWNr7iPGFSsiJqq46S7PYRE0/edit?usp=share_link"",""ระนอง!N350"")+IMPORTRANGE(""https"&amp;"://docs.google.com/spreadsheets/d/16o_4B-V7AWw_6E93bSpXj_XxVv1oVQctk-B6z1dNEWU/edit?usp=share_link"",""สงขลา!N350"")+IMPORTRANGE(""https://docs.google.com/spreadsheets/d/16cywr71Fj4fA5OGRHsZh30ZG2gwJhMAQv69oVBzYHv0/edit?usp=share_link"",""สตูล!N350"")+IMP"&amp;"ORTRANGE(""https://docs.google.com/spreadsheets/d/1vO9Sws6kMtrVtyvrAJptINXjK8TFBoX9xLYOVK_C8bQ/edit?usp=share_link"",""สุราษฎร์ธานี!N350"")"),6859842.57)</f>
        <v>6859842.5700000003</v>
      </c>
      <c r="O350" s="45">
        <f t="shared" ca="1" si="182"/>
        <v>77.877799095643169</v>
      </c>
      <c r="P350" s="45">
        <f t="shared" ca="1" si="183"/>
        <v>67.281260463898263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1332200</v>
      </c>
      <c r="M351" s="38">
        <f t="shared" ca="1" si="187"/>
        <v>1347210</v>
      </c>
      <c r="N351" s="38">
        <f t="shared" ca="1" si="187"/>
        <v>1304810</v>
      </c>
      <c r="O351" s="38">
        <f t="shared" ca="1" si="182"/>
        <v>97.944002402041733</v>
      </c>
      <c r="P351" s="38">
        <f t="shared" ca="1" si="183"/>
        <v>96.852754952828434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IFERROR(__xludf.DUMMYFUNCTION("IMPORTRANGE(""https://docs.google.com/spreadsheets/d/1kC41EOXpGBFOW658Fs3oD8beYlym0-zO54WY-2Qnp9I/edit?usp=share_link"",""กระบี่!L353"")
+IMPORTRANGE(""https://docs.google.com/spreadsheets/d/1FbzMZY_f3MDiEuK7RpCQKrilJ_kpX0Wm7QBZ1L7EjIU/edit?usp=share_link"&amp;""",""ชุมพร!L353"")+IMPORTRANGE(""https://docs.google.com/spreadsheets/d/1v5sN-00LrXuhBxw4dkh2GrG_z4l5oAqOdJRBCsUyMaM/edit?usp=share_link"",""ตรัง!L353"")+IMPORTRANGE(""https://docs.google.com/spreadsheets/d/1T5rRTzFc79aSIvqnzkZNvwPstq829QYz_xALlO1Z0s8/edi"&amp;"t?usp=share_link"",""นครศรีธรรมราช!L353"")+IMPORTRANGE(""https://docs.google.com/spreadsheets/d/1BeghqumK0IvCmRd2QOy6_afsZq7ZtAGrSnVJy2u7WmY/edit?usp=share_link"",""นราธิวาส!L353"")+IMPORTRANGE(""https://docs.google.com/spreadsheets/d/1IwnW3-jjRf74MCLW-6P"&amp;"iFwMUffRQXZwZA7YM609NmRc/edit?usp=share_link"",""ปัตตานี!L353"")+IMPORTRANGE(""https://docs.google.com/spreadsheets/d/1vl4QWbWdFruual5o_wdo6ZSqXZ_it806oja4CctTLKs/edit?usp=share_link"",""พังงา!L353"")+IMPORTRANGE(""https://docs.google.com/spreadsheets/d/1"&amp;"b6QssHQp2FoAPSMKHOy273KNzAomaIKhtdlvuZ_zDNE/edit?usp=share_link"",""พัทลุง!L353"")+IMPORTRANGE(""https://docs.google.com/spreadsheets/d/1o7UZe4_OqlqtLDHrj01Z2YFRSZDf1DMy1n3XViHaxRc/edit?usp=share_link"",""ภูเก็ต!L353"")+IMPORTRANGE(""https://docs.google.c"&amp;"om/spreadsheets/d/1ctPm1vUzcUCPuOj9-eoHUD85PqINFqUB0TjdSWmR5-c/edit?usp=share_link"",""ยะลา!L353"")+IMPORTRANGE(""https://docs.google.com/spreadsheets/d/1YiDIE7Klmt8osgdapRqYWNr7iPGFSsiJqq46S7PYRE0/edit?usp=share_link"",""ระนอง!L353"")+IMPORTRANGE(""https"&amp;"://docs.google.com/spreadsheets/d/16o_4B-V7AWw_6E93bSpXj_XxVv1oVQctk-B6z1dNEWU/edit?usp=share_link"",""สงขลา!L353"")+IMPORTRANGE(""https://docs.google.com/spreadsheets/d/16cywr71Fj4fA5OGRHsZh30ZG2gwJhMAQv69oVBzYHv0/edit?usp=share_link"",""สตูล!L353"")+IMP"&amp;"ORTRANGE(""https://docs.google.com/spreadsheets/d/1vO9Sws6kMtrVtyvrAJptINXjK8TFBoX9xLYOVK_C8bQ/edit?usp=share_link"",""สุราษฎร์ธานี!L353"")"),1332200)</f>
        <v>1332200</v>
      </c>
      <c r="M353" s="45">
        <f ca="1">IFERROR(__xludf.DUMMYFUNCTION("IMPORTRANGE(""https://docs.google.com/spreadsheets/d/1kC41EOXpGBFOW658Fs3oD8beYlym0-zO54WY-2Qnp9I/edit?usp=share_link"",""กระบี่!M353"")
+IMPORTRANGE(""https://docs.google.com/spreadsheets/d/1FbzMZY_f3MDiEuK7RpCQKrilJ_kpX0Wm7QBZ1L7EjIU/edit?usp=share_link"&amp;""",""ชุมพร!M353"")+IMPORTRANGE(""https://docs.google.com/spreadsheets/d/1v5sN-00LrXuhBxw4dkh2GrG_z4l5oAqOdJRBCsUyMaM/edit?usp=share_link"",""ตรัง!M353"")+IMPORTRANGE(""https://docs.google.com/spreadsheets/d/1T5rRTzFc79aSIvqnzkZNvwPstq829QYz_xALlO1Z0s8/edi"&amp;"t?usp=share_link"",""นครศรีธรรมราช!M353"")+IMPORTRANGE(""https://docs.google.com/spreadsheets/d/1BeghqumK0IvCmRd2QOy6_afsZq7ZtAGrSnVJy2u7WmY/edit?usp=share_link"",""นราธิวาส!M353"")+IMPORTRANGE(""https://docs.google.com/spreadsheets/d/1IwnW3-jjRf74MCLW-6P"&amp;"iFwMUffRQXZwZA7YM609NmRc/edit?usp=share_link"",""ปัตตานี!M353"")+IMPORTRANGE(""https://docs.google.com/spreadsheets/d/1vl4QWbWdFruual5o_wdo6ZSqXZ_it806oja4CctTLKs/edit?usp=share_link"",""พังงา!M353"")+IMPORTRANGE(""https://docs.google.com/spreadsheets/d/1"&amp;"b6QssHQp2FoAPSMKHOy273KNzAomaIKhtdlvuZ_zDNE/edit?usp=share_link"",""พัทลุง!M353"")+IMPORTRANGE(""https://docs.google.com/spreadsheets/d/1o7UZe4_OqlqtLDHrj01Z2YFRSZDf1DMy1n3XViHaxRc/edit?usp=share_link"",""ภูเก็ต!M353"")+IMPORTRANGE(""https://docs.google.c"&amp;"om/spreadsheets/d/1ctPm1vUzcUCPuOj9-eoHUD85PqINFqUB0TjdSWmR5-c/edit?usp=share_link"",""ยะลา!M353"")+IMPORTRANGE(""https://docs.google.com/spreadsheets/d/1YiDIE7Klmt8osgdapRqYWNr7iPGFSsiJqq46S7PYRE0/edit?usp=share_link"",""ระนอง!M353"")+IMPORTRANGE(""https"&amp;"://docs.google.com/spreadsheets/d/16o_4B-V7AWw_6E93bSpXj_XxVv1oVQctk-B6z1dNEWU/edit?usp=share_link"",""สงขลา!M353"")+IMPORTRANGE(""https://docs.google.com/spreadsheets/d/16cywr71Fj4fA5OGRHsZh30ZG2gwJhMAQv69oVBzYHv0/edit?usp=share_link"",""สตูล!M353"")+IMP"&amp;"ORTRANGE(""https://docs.google.com/spreadsheets/d/1vO9Sws6kMtrVtyvrAJptINXjK8TFBoX9xLYOVK_C8bQ/edit?usp=share_link"",""สุราษฎร์ธานี!M353"")"),1347210)</f>
        <v>1347210</v>
      </c>
      <c r="N353" s="45">
        <f ca="1">IFERROR(__xludf.DUMMYFUNCTION("IMPORTRANGE(""https://docs.google.com/spreadsheets/d/1kC41EOXpGBFOW658Fs3oD8beYlym0-zO54WY-2Qnp9I/edit?usp=share_link"",""กระบี่!N353"")
+IMPORTRANGE(""https://docs.google.com/spreadsheets/d/1FbzMZY_f3MDiEuK7RpCQKrilJ_kpX0Wm7QBZ1L7EjIU/edit?usp=share_link"&amp;""",""ชุมพร!N353"")+IMPORTRANGE(""https://docs.google.com/spreadsheets/d/1v5sN-00LrXuhBxw4dkh2GrG_z4l5oAqOdJRBCsUyMaM/edit?usp=share_link"",""ตรัง!N353"")+IMPORTRANGE(""https://docs.google.com/spreadsheets/d/1T5rRTzFc79aSIvqnzkZNvwPstq829QYz_xALlO1Z0s8/edi"&amp;"t?usp=share_link"",""นครศรีธรรมราช!N353"")+IMPORTRANGE(""https://docs.google.com/spreadsheets/d/1BeghqumK0IvCmRd2QOy6_afsZq7ZtAGrSnVJy2u7WmY/edit?usp=share_link"",""นราธิวาส!N353"")+IMPORTRANGE(""https://docs.google.com/spreadsheets/d/1IwnW3-jjRf74MCLW-6P"&amp;"iFwMUffRQXZwZA7YM609NmRc/edit?usp=share_link"",""ปัตตานี!N353"")+IMPORTRANGE(""https://docs.google.com/spreadsheets/d/1vl4QWbWdFruual5o_wdo6ZSqXZ_it806oja4CctTLKs/edit?usp=share_link"",""พังงา!N353"")+IMPORTRANGE(""https://docs.google.com/spreadsheets/d/1"&amp;"b6QssHQp2FoAPSMKHOy273KNzAomaIKhtdlvuZ_zDNE/edit?usp=share_link"",""พัทลุง!N353"")+IMPORTRANGE(""https://docs.google.com/spreadsheets/d/1o7UZe4_OqlqtLDHrj01Z2YFRSZDf1DMy1n3XViHaxRc/edit?usp=share_link"",""ภูเก็ต!N353"")+IMPORTRANGE(""https://docs.google.c"&amp;"om/spreadsheets/d/1ctPm1vUzcUCPuOj9-eoHUD85PqINFqUB0TjdSWmR5-c/edit?usp=share_link"",""ยะลา!N353"")+IMPORTRANGE(""https://docs.google.com/spreadsheets/d/1YiDIE7Klmt8osgdapRqYWNr7iPGFSsiJqq46S7PYRE0/edit?usp=share_link"",""ระนอง!N353"")+IMPORTRANGE(""https"&amp;"://docs.google.com/spreadsheets/d/16o_4B-V7AWw_6E93bSpXj_XxVv1oVQctk-B6z1dNEWU/edit?usp=share_link"",""สงขลา!N353"")+IMPORTRANGE(""https://docs.google.com/spreadsheets/d/16cywr71Fj4fA5OGRHsZh30ZG2gwJhMAQv69oVBzYHv0/edit?usp=share_link"",""สตูล!N353"")+IMP"&amp;"ORTRANGE(""https://docs.google.com/spreadsheets/d/1vO9Sws6kMtrVtyvrAJptINXjK8TFBoX9xLYOVK_C8bQ/edit?usp=share_link"",""สุราษฎร์ธานี!N353"")"),1304810)</f>
        <v>1304810</v>
      </c>
      <c r="O353" s="45">
        <f t="shared" ca="1" si="182"/>
        <v>97.944002402041733</v>
      </c>
      <c r="P353" s="45">
        <f t="shared" ca="1" si="183"/>
        <v>96.852754952828434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7"/>
      <c r="B355" s="458"/>
      <c r="C355" s="459"/>
      <c r="D355" s="460" t="s">
        <v>159</v>
      </c>
      <c r="E355" s="461"/>
      <c r="F355" s="461"/>
      <c r="G355" s="462"/>
      <c r="H355" s="463" t="s">
        <v>35</v>
      </c>
      <c r="I355" s="464">
        <f ca="1">IFERROR(__xludf.DUMMYFUNCTION("IMPORTRANGE(""https://docs.google.com/spreadsheets/d/1kC41EOXpGBFOW658Fs3oD8beYlym0-zO54WY-2Qnp9I/edit?usp=share_link"",""กระบี่!I355"")
+IMPORTRANGE(""https://docs.google.com/spreadsheets/d/1FbzMZY_f3MDiEuK7RpCQKrilJ_kpX0Wm7QBZ1L7EjIU/edit?usp=share_link"&amp;""",""ชุมพร!I355"")+IMPORTRANGE(""https://docs.google.com/spreadsheets/d/1v5sN-00LrXuhBxw4dkh2GrG_z4l5oAqOdJRBCsUyMaM/edit?usp=share_link"",""ตรัง!I355"")+IMPORTRANGE(""https://docs.google.com/spreadsheets/d/1T5rRTzFc79aSIvqnzkZNvwPstq829QYz_xALlO1Z0s8/edi"&amp;"t?usp=share_link"",""นครศรีธรรมราช!I355"")+IMPORTRANGE(""https://docs.google.com/spreadsheets/d/1BeghqumK0IvCmRd2QOy6_afsZq7ZtAGrSnVJy2u7WmY/edit?usp=share_link"",""นราธิวาส!I355"")+IMPORTRANGE(""https://docs.google.com/spreadsheets/d/1IwnW3-jjRf74MCLW-6P"&amp;"iFwMUffRQXZwZA7YM609NmRc/edit?usp=share_link"",""ปัตตานี!I355"")+IMPORTRANGE(""https://docs.google.com/spreadsheets/d/1vl4QWbWdFruual5o_wdo6ZSqXZ_it806oja4CctTLKs/edit?usp=share_link"",""พังงา!I355"")+IMPORTRANGE(""https://docs.google.com/spreadsheets/d/1"&amp;"b6QssHQp2FoAPSMKHOy273KNzAomaIKhtdlvuZ_zDNE/edit?usp=share_link"",""พัทลุง!I355"")+IMPORTRANGE(""https://docs.google.com/spreadsheets/d/1o7UZe4_OqlqtLDHrj01Z2YFRSZDf1DMy1n3XViHaxRc/edit?usp=share_link"",""ภูเก็ต!I355"")+IMPORTRANGE(""https://docs.google.c"&amp;"om/spreadsheets/d/1ctPm1vUzcUCPuOj9-eoHUD85PqINFqUB0TjdSWmR5-c/edit?usp=share_link"",""ยะลา!I355"")+IMPORTRANGE(""https://docs.google.com/spreadsheets/d/1YiDIE7Klmt8osgdapRqYWNr7iPGFSsiJqq46S7PYRE0/edit?usp=share_link"",""ระนอง!I355"")+IMPORTRANGE(""https"&amp;"://docs.google.com/spreadsheets/d/16o_4B-V7AWw_6E93bSpXj_XxVv1oVQctk-B6z1dNEWU/edit?usp=share_link"",""สงขลา!I355"")+IMPORTRANGE(""https://docs.google.com/spreadsheets/d/16cywr71Fj4fA5OGRHsZh30ZG2gwJhMAQv69oVBzYHv0/edit?usp=share_link"",""สตูล!I355"")+IMP"&amp;"ORTRANGE(""https://docs.google.com/spreadsheets/d/1vO9Sws6kMtrVtyvrAJptINXjK8TFBoX9xLYOVK_C8bQ/edit?usp=share_link"",""สุราษฎร์ธานี!I355"")"),2213)</f>
        <v>2213</v>
      </c>
      <c r="J355" s="465">
        <f ca="1">J362</f>
        <v>1068</v>
      </c>
      <c r="K355" s="466">
        <f ca="1">IF(I355&gt;0,J355*100/I355,0)</f>
        <v>48.260280162675102</v>
      </c>
      <c r="L355" s="467"/>
      <c r="M355" s="467"/>
      <c r="N355" s="467"/>
      <c r="O355" s="467"/>
      <c r="P355" s="467"/>
    </row>
    <row r="356" spans="1:26" ht="20.25" customHeight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IFERROR(__xludf.DUMMYFUNCTION("IMPORTRANGE(""https://docs.google.com/spreadsheets/d/1kC41EOXpGBFOW658Fs3oD8beYlym0-zO54WY-2Qnp9I/edit?usp=share_link"",""กระบี่!J358"")
+IMPORTRANGE(""https://docs.google.com/spreadsheets/d/1FbzMZY_f3MDiEuK7RpCQKrilJ_kpX0Wm7QBZ1L7EjIU/edit?usp=share_link"&amp;""",""ชุมพร!J358"")+IMPORTRANGE(""https://docs.google.com/spreadsheets/d/1v5sN-00LrXuhBxw4dkh2GrG_z4l5oAqOdJRBCsUyMaM/edit?usp=share_link"",""ตรัง!J358"")+IMPORTRANGE(""https://docs.google.com/spreadsheets/d/1T5rRTzFc79aSIvqnzkZNvwPstq829QYz_xALlO1Z0s8/edi"&amp;"t?usp=share_link"",""นครศรีธรรมราช!J358"")+IMPORTRANGE(""https://docs.google.com/spreadsheets/d/1BeghqumK0IvCmRd2QOy6_afsZq7ZtAGrSnVJy2u7WmY/edit?usp=share_link"",""นราธิวาส!J358"")+IMPORTRANGE(""https://docs.google.com/spreadsheets/d/1IwnW3-jjRf74MCLW-6P"&amp;"iFwMUffRQXZwZA7YM609NmRc/edit?usp=share_link"",""ปัตตานี!J358"")+IMPORTRANGE(""https://docs.google.com/spreadsheets/d/1vl4QWbWdFruual5o_wdo6ZSqXZ_it806oja4CctTLKs/edit?usp=share_link"",""พังงา!J358"")+IMPORTRANGE(""https://docs.google.com/spreadsheets/d/1"&amp;"b6QssHQp2FoAPSMKHOy273KNzAomaIKhtdlvuZ_zDNE/edit?usp=share_link"",""พัทลุง!J358"")+IMPORTRANGE(""https://docs.google.com/spreadsheets/d/1o7UZe4_OqlqtLDHrj01Z2YFRSZDf1DMy1n3XViHaxRc/edit?usp=share_link"",""ภูเก็ต!J358"")+IMPORTRANGE(""https://docs.google.c"&amp;"om/spreadsheets/d/1ctPm1vUzcUCPuOj9-eoHUD85PqINFqUB0TjdSWmR5-c/edit?usp=share_link"",""ยะลา!J358"")+IMPORTRANGE(""https://docs.google.com/spreadsheets/d/1YiDIE7Klmt8osgdapRqYWNr7iPGFSsiJqq46S7PYRE0/edit?usp=share_link"",""ระนอง!J358"")+IMPORTRANGE(""https"&amp;"://docs.google.com/spreadsheets/d/16o_4B-V7AWw_6E93bSpXj_XxVv1oVQctk-B6z1dNEWU/edit?usp=share_link"",""สงขลา!J358"")+IMPORTRANGE(""https://docs.google.com/spreadsheets/d/16cywr71Fj4fA5OGRHsZh30ZG2gwJhMAQv69oVBzYHv0/edit?usp=share_link"",""สตูล!J358"")+IMP"&amp;"ORTRANGE(""https://docs.google.com/spreadsheets/d/1vO9Sws6kMtrVtyvrAJptINXjK8TFBoX9xLYOVK_C8bQ/edit?usp=share_link"",""สุราษฎร์ธานี!J358"")"),2271)</f>
        <v>2271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IFERROR(__xludf.DUMMYFUNCTION("IMPORTRANGE(""https://docs.google.com/spreadsheets/d/1kC41EOXpGBFOW658Fs3oD8beYlym0-zO54WY-2Qnp9I/edit?usp=share_link"",""กระบี่!I359"")
+IMPORTRANGE(""https://docs.google.com/spreadsheets/d/1FbzMZY_f3MDiEuK7RpCQKrilJ_kpX0Wm7QBZ1L7EjIU/edit?usp=share_link"&amp;""",""ชุมพร!I359"")+IMPORTRANGE(""https://docs.google.com/spreadsheets/d/1v5sN-00LrXuhBxw4dkh2GrG_z4l5oAqOdJRBCsUyMaM/edit?usp=share_link"",""ตรัง!I359"")+IMPORTRANGE(""https://docs.google.com/spreadsheets/d/1T5rRTzFc79aSIvqnzkZNvwPstq829QYz_xALlO1Z0s8/edi"&amp;"t?usp=share_link"",""นครศรีธรรมราช!I359"")+IMPORTRANGE(""https://docs.google.com/spreadsheets/d/1BeghqumK0IvCmRd2QOy6_afsZq7ZtAGrSnVJy2u7WmY/edit?usp=share_link"",""นราธิวาส!I359"")+IMPORTRANGE(""https://docs.google.com/spreadsheets/d/1IwnW3-jjRf74MCLW-6P"&amp;"iFwMUffRQXZwZA7YM609NmRc/edit?usp=share_link"",""ปัตตานี!I359"")+IMPORTRANGE(""https://docs.google.com/spreadsheets/d/1vl4QWbWdFruual5o_wdo6ZSqXZ_it806oja4CctTLKs/edit?usp=share_link"",""พังงา!I359"")+IMPORTRANGE(""https://docs.google.com/spreadsheets/d/1"&amp;"b6QssHQp2FoAPSMKHOy273KNzAomaIKhtdlvuZ_zDNE/edit?usp=share_link"",""พัทลุง!I359"")+IMPORTRANGE(""https://docs.google.com/spreadsheets/d/1o7UZe4_OqlqtLDHrj01Z2YFRSZDf1DMy1n3XViHaxRc/edit?usp=share_link"",""ภูเก็ต!I359"")+IMPORTRANGE(""https://docs.google.c"&amp;"om/spreadsheets/d/1ctPm1vUzcUCPuOj9-eoHUD85PqINFqUB0TjdSWmR5-c/edit?usp=share_link"",""ยะลา!I359"")+IMPORTRANGE(""https://docs.google.com/spreadsheets/d/1YiDIE7Klmt8osgdapRqYWNr7iPGFSsiJqq46S7PYRE0/edit?usp=share_link"",""ระนอง!I359"")+IMPORTRANGE(""https"&amp;"://docs.google.com/spreadsheets/d/16o_4B-V7AWw_6E93bSpXj_XxVv1oVQctk-B6z1dNEWU/edit?usp=share_link"",""สงขลา!I359"")+IMPORTRANGE(""https://docs.google.com/spreadsheets/d/16cywr71Fj4fA5OGRHsZh30ZG2gwJhMAQv69oVBzYHv0/edit?usp=share_link"",""สตูล!I359"")+IMP"&amp;"ORTRANGE(""https://docs.google.com/spreadsheets/d/1vO9Sws6kMtrVtyvrAJptINXjK8TFBoX9xLYOVK_C8bQ/edit?usp=share_link"",""สุราษฎร์ธานี!I359"")"),20134)</f>
        <v>20134</v>
      </c>
      <c r="J359" s="270">
        <f ca="1">IFERROR(__xludf.DUMMYFUNCTION("IMPORTRANGE(""https://docs.google.com/spreadsheets/d/1kC41EOXpGBFOW658Fs3oD8beYlym0-zO54WY-2Qnp9I/edit?usp=share_link"",""กระบี่!J359"")
+IMPORTRANGE(""https://docs.google.com/spreadsheets/d/1FbzMZY_f3MDiEuK7RpCQKrilJ_kpX0Wm7QBZ1L7EjIU/edit?usp=share_link"&amp;""",""ชุมพร!J359"")+IMPORTRANGE(""https://docs.google.com/spreadsheets/d/1v5sN-00LrXuhBxw4dkh2GrG_z4l5oAqOdJRBCsUyMaM/edit?usp=share_link"",""ตรัง!J359"")+IMPORTRANGE(""https://docs.google.com/spreadsheets/d/1T5rRTzFc79aSIvqnzkZNvwPstq829QYz_xALlO1Z0s8/edi"&amp;"t?usp=share_link"",""นครศรีธรรมราช!J359"")+IMPORTRANGE(""https://docs.google.com/spreadsheets/d/1BeghqumK0IvCmRd2QOy6_afsZq7ZtAGrSnVJy2u7WmY/edit?usp=share_link"",""นราธิวาส!J359"")+IMPORTRANGE(""https://docs.google.com/spreadsheets/d/1IwnW3-jjRf74MCLW-6P"&amp;"iFwMUffRQXZwZA7YM609NmRc/edit?usp=share_link"",""ปัตตานี!J359"")+IMPORTRANGE(""https://docs.google.com/spreadsheets/d/1vl4QWbWdFruual5o_wdo6ZSqXZ_it806oja4CctTLKs/edit?usp=share_link"",""พังงา!J359"")+IMPORTRANGE(""https://docs.google.com/spreadsheets/d/1"&amp;"b6QssHQp2FoAPSMKHOy273KNzAomaIKhtdlvuZ_zDNE/edit?usp=share_link"",""พัทลุง!J359"")+IMPORTRANGE(""https://docs.google.com/spreadsheets/d/1o7UZe4_OqlqtLDHrj01Z2YFRSZDf1DMy1n3XViHaxRc/edit?usp=share_link"",""ภูเก็ต!J359"")+IMPORTRANGE(""https://docs.google.c"&amp;"om/spreadsheets/d/1ctPm1vUzcUCPuOj9-eoHUD85PqINFqUB0TjdSWmR5-c/edit?usp=share_link"",""ยะลา!J359"")+IMPORTRANGE(""https://docs.google.com/spreadsheets/d/1YiDIE7Klmt8osgdapRqYWNr7iPGFSsiJqq46S7PYRE0/edit?usp=share_link"",""ระนอง!J359"")+IMPORTRANGE(""https"&amp;"://docs.google.com/spreadsheets/d/16o_4B-V7AWw_6E93bSpXj_XxVv1oVQctk-B6z1dNEWU/edit?usp=share_link"",""สงขลา!J359"")+IMPORTRANGE(""https://docs.google.com/spreadsheets/d/16cywr71Fj4fA5OGRHsZh30ZG2gwJhMAQv69oVBzYHv0/edit?usp=share_link"",""สตูล!J359"")+IMP"&amp;"ORTRANGE(""https://docs.google.com/spreadsheets/d/1vO9Sws6kMtrVtyvrAJptINXjK8TFBoX9xLYOVK_C8bQ/edit?usp=share_link"",""สุราษฎร์ธานี!J359"")"),19774.03)</f>
        <v>19774.03</v>
      </c>
      <c r="K359" s="38">
        <f t="shared" ca="1" si="188"/>
        <v>98.212128737459025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IFERROR(__xludf.DUMMYFUNCTION("IMPORTRANGE(""https://docs.google.com/spreadsheets/d/1kC41EOXpGBFOW658Fs3oD8beYlym0-zO54WY-2Qnp9I/edit?usp=share_link"",""กระบี่!I360"")
+IMPORTRANGE(""https://docs.google.com/spreadsheets/d/1FbzMZY_f3MDiEuK7RpCQKrilJ_kpX0Wm7QBZ1L7EjIU/edit?usp=share_link"&amp;""",""ชุมพร!I360"")+IMPORTRANGE(""https://docs.google.com/spreadsheets/d/1v5sN-00LrXuhBxw4dkh2GrG_z4l5oAqOdJRBCsUyMaM/edit?usp=share_link"",""ตรัง!I360"")+IMPORTRANGE(""https://docs.google.com/spreadsheets/d/1T5rRTzFc79aSIvqnzkZNvwPstq829QYz_xALlO1Z0s8/edi"&amp;"t?usp=share_link"",""นครศรีธรรมราช!I360"")+IMPORTRANGE(""https://docs.google.com/spreadsheets/d/1BeghqumK0IvCmRd2QOy6_afsZq7ZtAGrSnVJy2u7WmY/edit?usp=share_link"",""นราธิวาส!I360"")+IMPORTRANGE(""https://docs.google.com/spreadsheets/d/1IwnW3-jjRf74MCLW-6P"&amp;"iFwMUffRQXZwZA7YM609NmRc/edit?usp=share_link"",""ปัตตานี!I360"")+IMPORTRANGE(""https://docs.google.com/spreadsheets/d/1vl4QWbWdFruual5o_wdo6ZSqXZ_it806oja4CctTLKs/edit?usp=share_link"",""พังงา!I360"")+IMPORTRANGE(""https://docs.google.com/spreadsheets/d/1"&amp;"b6QssHQp2FoAPSMKHOy273KNzAomaIKhtdlvuZ_zDNE/edit?usp=share_link"",""พัทลุง!I360"")+IMPORTRANGE(""https://docs.google.com/spreadsheets/d/1o7UZe4_OqlqtLDHrj01Z2YFRSZDf1DMy1n3XViHaxRc/edit?usp=share_link"",""ภูเก็ต!I360"")+IMPORTRANGE(""https://docs.google.c"&amp;"om/spreadsheets/d/1ctPm1vUzcUCPuOj9-eoHUD85PqINFqUB0TjdSWmR5-c/edit?usp=share_link"",""ยะลา!I360"")+IMPORTRANGE(""https://docs.google.com/spreadsheets/d/1YiDIE7Klmt8osgdapRqYWNr7iPGFSsiJqq46S7PYRE0/edit?usp=share_link"",""ระนอง!I360"")+IMPORTRANGE(""https"&amp;"://docs.google.com/spreadsheets/d/16o_4B-V7AWw_6E93bSpXj_XxVv1oVQctk-B6z1dNEWU/edit?usp=share_link"",""สงขลา!I360"")+IMPORTRANGE(""https://docs.google.com/spreadsheets/d/16cywr71Fj4fA5OGRHsZh30ZG2gwJhMAQv69oVBzYHv0/edit?usp=share_link"",""สตูล!I360"")+IMP"&amp;"ORTRANGE(""https://docs.google.com/spreadsheets/d/1vO9Sws6kMtrVtyvrAJptINXjK8TFBoX9xLYOVK_C8bQ/edit?usp=share_link"",""สุราษฎร์ธานี!I360"")"),2213)</f>
        <v>2213</v>
      </c>
      <c r="J360" s="270">
        <f ca="1">IFERROR(__xludf.DUMMYFUNCTION("IMPORTRANGE(""https://docs.google.com/spreadsheets/d/1kC41EOXpGBFOW658Fs3oD8beYlym0-zO54WY-2Qnp9I/edit?usp=share_link"",""กระบี่!J360"")
+IMPORTRANGE(""https://docs.google.com/spreadsheets/d/1FbzMZY_f3MDiEuK7RpCQKrilJ_kpX0Wm7QBZ1L7EjIU/edit?usp=share_link"&amp;""",""ชุมพร!J360"")+IMPORTRANGE(""https://docs.google.com/spreadsheets/d/1v5sN-00LrXuhBxw4dkh2GrG_z4l5oAqOdJRBCsUyMaM/edit?usp=share_link"",""ตรัง!J360"")+IMPORTRANGE(""https://docs.google.com/spreadsheets/d/1T5rRTzFc79aSIvqnzkZNvwPstq829QYz_xALlO1Z0s8/edi"&amp;"t?usp=share_link"",""นครศรีธรรมราช!J360"")+IMPORTRANGE(""https://docs.google.com/spreadsheets/d/1BeghqumK0IvCmRd2QOy6_afsZq7ZtAGrSnVJy2u7WmY/edit?usp=share_link"",""นราธิวาส!J360"")+IMPORTRANGE(""https://docs.google.com/spreadsheets/d/1IwnW3-jjRf74MCLW-6P"&amp;"iFwMUffRQXZwZA7YM609NmRc/edit?usp=share_link"",""ปัตตานี!J360"")+IMPORTRANGE(""https://docs.google.com/spreadsheets/d/1vl4QWbWdFruual5o_wdo6ZSqXZ_it806oja4CctTLKs/edit?usp=share_link"",""พังงา!J360"")+IMPORTRANGE(""https://docs.google.com/spreadsheets/d/1"&amp;"b6QssHQp2FoAPSMKHOy273KNzAomaIKhtdlvuZ_zDNE/edit?usp=share_link"",""พัทลุง!J360"")+IMPORTRANGE(""https://docs.google.com/spreadsheets/d/1o7UZe4_OqlqtLDHrj01Z2YFRSZDf1DMy1n3XViHaxRc/edit?usp=share_link"",""ภูเก็ต!J360"")+IMPORTRANGE(""https://docs.google.c"&amp;"om/spreadsheets/d/1ctPm1vUzcUCPuOj9-eoHUD85PqINFqUB0TjdSWmR5-c/edit?usp=share_link"",""ยะลา!J360"")+IMPORTRANGE(""https://docs.google.com/spreadsheets/d/1YiDIE7Klmt8osgdapRqYWNr7iPGFSsiJqq46S7PYRE0/edit?usp=share_link"",""ระนอง!J360"")+IMPORTRANGE(""https"&amp;"://docs.google.com/spreadsheets/d/16o_4B-V7AWw_6E93bSpXj_XxVv1oVQctk-B6z1dNEWU/edit?usp=share_link"",""สงขลา!J360"")+IMPORTRANGE(""https://docs.google.com/spreadsheets/d/16cywr71Fj4fA5OGRHsZh30ZG2gwJhMAQv69oVBzYHv0/edit?usp=share_link"",""สตูล!J360"")+IMP"&amp;"ORTRANGE(""https://docs.google.com/spreadsheets/d/1vO9Sws6kMtrVtyvrAJptINXjK8TFBoX9xLYOVK_C8bQ/edit?usp=share_link"",""สุราษฎร์ธานี!J360"")"),1887)</f>
        <v>1887</v>
      </c>
      <c r="K360" s="38">
        <f t="shared" ca="1" si="188"/>
        <v>85.268865793041115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IFERROR(__xludf.DUMMYFUNCTION("IMPORTRANGE(""https://docs.google.com/spreadsheets/d/1kC41EOXpGBFOW658Fs3oD8beYlym0-zO54WY-2Qnp9I/edit?usp=share_link"",""กระบี่!J361"")
+IMPORTRANGE(""https://docs.google.com/spreadsheets/d/1FbzMZY_f3MDiEuK7RpCQKrilJ_kpX0Wm7QBZ1L7EjIU/edit?usp=share_link"&amp;""",""ชุมพร!J361"")+IMPORTRANGE(""https://docs.google.com/spreadsheets/d/1v5sN-00LrXuhBxw4dkh2GrG_z4l5oAqOdJRBCsUyMaM/edit?usp=share_link"",""ตรัง!J361"")+IMPORTRANGE(""https://docs.google.com/spreadsheets/d/1T5rRTzFc79aSIvqnzkZNvwPstq829QYz_xALlO1Z0s8/edi"&amp;"t?usp=share_link"",""นครศรีธรรมราช!J361"")+IMPORTRANGE(""https://docs.google.com/spreadsheets/d/1BeghqumK0IvCmRd2QOy6_afsZq7ZtAGrSnVJy2u7WmY/edit?usp=share_link"",""นราธิวาส!J361"")+IMPORTRANGE(""https://docs.google.com/spreadsheets/d/1IwnW3-jjRf74MCLW-6P"&amp;"iFwMUffRQXZwZA7YM609NmRc/edit?usp=share_link"",""ปัตตานี!J361"")+IMPORTRANGE(""https://docs.google.com/spreadsheets/d/1vl4QWbWdFruual5o_wdo6ZSqXZ_it806oja4CctTLKs/edit?usp=share_link"",""พังงา!J361"")+IMPORTRANGE(""https://docs.google.com/spreadsheets/d/1"&amp;"b6QssHQp2FoAPSMKHOy273KNzAomaIKhtdlvuZ_zDNE/edit?usp=share_link"",""พัทลุง!J361"")+IMPORTRANGE(""https://docs.google.com/spreadsheets/d/1o7UZe4_OqlqtLDHrj01Z2YFRSZDf1DMy1n3XViHaxRc/edit?usp=share_link"",""ภูเก็ต!J361"")+IMPORTRANGE(""https://docs.google.c"&amp;"om/spreadsheets/d/1ctPm1vUzcUCPuOj9-eoHUD85PqINFqUB0TjdSWmR5-c/edit?usp=share_link"",""ยะลา!J361"")+IMPORTRANGE(""https://docs.google.com/spreadsheets/d/1YiDIE7Klmt8osgdapRqYWNr7iPGFSsiJqq46S7PYRE0/edit?usp=share_link"",""ระนอง!J361"")+IMPORTRANGE(""https"&amp;"://docs.google.com/spreadsheets/d/16o_4B-V7AWw_6E93bSpXj_XxVv1oVQctk-B6z1dNEWU/edit?usp=share_link"",""สงขลา!J361"")+IMPORTRANGE(""https://docs.google.com/spreadsheets/d/16cywr71Fj4fA5OGRHsZh30ZG2gwJhMAQv69oVBzYHv0/edit?usp=share_link"",""สตูล!J361"")+IMP"&amp;"ORTRANGE(""https://docs.google.com/spreadsheets/d/1vO9Sws6kMtrVtyvrAJptINXjK8TFBoX9xLYOVK_C8bQ/edit?usp=share_link"",""สุราษฎร์ธานี!J361"")"),18296.8099999999)</f>
        <v>18296.809999999899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IFERROR(__xludf.DUMMYFUNCTION("IMPORTRANGE(""https://docs.google.com/spreadsheets/d/1kC41EOXpGBFOW658Fs3oD8beYlym0-zO54WY-2Qnp9I/edit?usp=share_link"",""กระบี่!I362"")
+IMPORTRANGE(""https://docs.google.com/spreadsheets/d/1FbzMZY_f3MDiEuK7RpCQKrilJ_kpX0Wm7QBZ1L7EjIU/edit?usp=share_link"&amp;""",""ชุมพร!I362"")+IMPORTRANGE(""https://docs.google.com/spreadsheets/d/1v5sN-00LrXuhBxw4dkh2GrG_z4l5oAqOdJRBCsUyMaM/edit?usp=share_link"",""ตรัง!I362"")+IMPORTRANGE(""https://docs.google.com/spreadsheets/d/1T5rRTzFc79aSIvqnzkZNvwPstq829QYz_xALlO1Z0s8/edi"&amp;"t?usp=share_link"",""นครศรีธรรมราช!I362"")+IMPORTRANGE(""https://docs.google.com/spreadsheets/d/1BeghqumK0IvCmRd2QOy6_afsZq7ZtAGrSnVJy2u7WmY/edit?usp=share_link"",""นราธิวาส!I362"")+IMPORTRANGE(""https://docs.google.com/spreadsheets/d/1IwnW3-jjRf74MCLW-6P"&amp;"iFwMUffRQXZwZA7YM609NmRc/edit?usp=share_link"",""ปัตตานี!I362"")+IMPORTRANGE(""https://docs.google.com/spreadsheets/d/1vl4QWbWdFruual5o_wdo6ZSqXZ_it806oja4CctTLKs/edit?usp=share_link"",""พังงา!I362"")+IMPORTRANGE(""https://docs.google.com/spreadsheets/d/1"&amp;"b6QssHQp2FoAPSMKHOy273KNzAomaIKhtdlvuZ_zDNE/edit?usp=share_link"",""พัทลุง!I362"")+IMPORTRANGE(""https://docs.google.com/spreadsheets/d/1o7UZe4_OqlqtLDHrj01Z2YFRSZDf1DMy1n3XViHaxRc/edit?usp=share_link"",""ภูเก็ต!I362"")+IMPORTRANGE(""https://docs.google.c"&amp;"om/spreadsheets/d/1ctPm1vUzcUCPuOj9-eoHUD85PqINFqUB0TjdSWmR5-c/edit?usp=share_link"",""ยะลา!I362"")+IMPORTRANGE(""https://docs.google.com/spreadsheets/d/1YiDIE7Klmt8osgdapRqYWNr7iPGFSsiJqq46S7PYRE0/edit?usp=share_link"",""ระนอง!I362"")+IMPORTRANGE(""https"&amp;"://docs.google.com/spreadsheets/d/16o_4B-V7AWw_6E93bSpXj_XxVv1oVQctk-B6z1dNEWU/edit?usp=share_link"",""สงขลา!I362"")+IMPORTRANGE(""https://docs.google.com/spreadsheets/d/16cywr71Fj4fA5OGRHsZh30ZG2gwJhMAQv69oVBzYHv0/edit?usp=share_link"",""สตูล!I362"")+IMP"&amp;"ORTRANGE(""https://docs.google.com/spreadsheets/d/1vO9Sws6kMtrVtyvrAJptINXjK8TFBoX9xLYOVK_C8bQ/edit?usp=share_link"",""สุราษฎร์ธานี!I362"")"),2213)</f>
        <v>2213</v>
      </c>
      <c r="J362" s="270">
        <f ca="1">IFERROR(__xludf.DUMMYFUNCTION("IMPORTRANGE(""https://docs.google.com/spreadsheets/d/1kC41EOXpGBFOW658Fs3oD8beYlym0-zO54WY-2Qnp9I/edit?usp=share_link"",""กระบี่!J362"")
+IMPORTRANGE(""https://docs.google.com/spreadsheets/d/1FbzMZY_f3MDiEuK7RpCQKrilJ_kpX0Wm7QBZ1L7EjIU/edit?usp=share_link"&amp;""",""ชุมพร!J362"")+IMPORTRANGE(""https://docs.google.com/spreadsheets/d/1v5sN-00LrXuhBxw4dkh2GrG_z4l5oAqOdJRBCsUyMaM/edit?usp=share_link"",""ตรัง!J362"")+IMPORTRANGE(""https://docs.google.com/spreadsheets/d/1T5rRTzFc79aSIvqnzkZNvwPstq829QYz_xALlO1Z0s8/edi"&amp;"t?usp=share_link"",""นครศรีธรรมราช!J362"")+IMPORTRANGE(""https://docs.google.com/spreadsheets/d/1BeghqumK0IvCmRd2QOy6_afsZq7ZtAGrSnVJy2u7WmY/edit?usp=share_link"",""นราธิวาส!J362"")+IMPORTRANGE(""https://docs.google.com/spreadsheets/d/1IwnW3-jjRf74MCLW-6P"&amp;"iFwMUffRQXZwZA7YM609NmRc/edit?usp=share_link"",""ปัตตานี!J362"")+IMPORTRANGE(""https://docs.google.com/spreadsheets/d/1vl4QWbWdFruual5o_wdo6ZSqXZ_it806oja4CctTLKs/edit?usp=share_link"",""พังงา!J362"")+IMPORTRANGE(""https://docs.google.com/spreadsheets/d/1"&amp;"b6QssHQp2FoAPSMKHOy273KNzAomaIKhtdlvuZ_zDNE/edit?usp=share_link"",""พัทลุง!J362"")+IMPORTRANGE(""https://docs.google.com/spreadsheets/d/1o7UZe4_OqlqtLDHrj01Z2YFRSZDf1DMy1n3XViHaxRc/edit?usp=share_link"",""ภูเก็ต!J362"")+IMPORTRANGE(""https://docs.google.c"&amp;"om/spreadsheets/d/1ctPm1vUzcUCPuOj9-eoHUD85PqINFqUB0TjdSWmR5-c/edit?usp=share_link"",""ยะลา!J362"")+IMPORTRANGE(""https://docs.google.com/spreadsheets/d/1YiDIE7Klmt8osgdapRqYWNr7iPGFSsiJqq46S7PYRE0/edit?usp=share_link"",""ระนอง!J362"")+IMPORTRANGE(""https"&amp;"://docs.google.com/spreadsheets/d/16o_4B-V7AWw_6E93bSpXj_XxVv1oVQctk-B6z1dNEWU/edit?usp=share_link"",""สงขลา!J362"")+IMPORTRANGE(""https://docs.google.com/spreadsheets/d/16cywr71Fj4fA5OGRHsZh30ZG2gwJhMAQv69oVBzYHv0/edit?usp=share_link"",""สตูล!J362"")+IMP"&amp;"ORTRANGE(""https://docs.google.com/spreadsheets/d/1vO9Sws6kMtrVtyvrAJptINXjK8TFBoX9xLYOVK_C8bQ/edit?usp=share_link"",""สุราษฎร์ธานี!J362"")"),1068)</f>
        <v>1068</v>
      </c>
      <c r="K362" s="38">
        <f t="shared" ca="1" si="188"/>
        <v>48.260280162675102</v>
      </c>
      <c r="L362" s="163"/>
      <c r="M362" s="163"/>
      <c r="N362" s="163"/>
      <c r="O362" s="163"/>
      <c r="P362" s="163"/>
    </row>
    <row r="363" spans="1:26" ht="20.25" customHeight="1">
      <c r="A363" s="471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IFERROR(__xludf.DUMMYFUNCTION("IMPORTRANGE(""https://docs.google.com/spreadsheets/d/1kC41EOXpGBFOW658Fs3oD8beYlym0-zO54WY-2Qnp9I/edit?usp=share_link"",""กระบี่!J363"")
+IMPORTRANGE(""https://docs.google.com/spreadsheets/d/1FbzMZY_f3MDiEuK7RpCQKrilJ_kpX0Wm7QBZ1L7EjIU/edit?usp=share_link"&amp;""",""ชุมพร!J363"")+IMPORTRANGE(""https://docs.google.com/spreadsheets/d/1v5sN-00LrXuhBxw4dkh2GrG_z4l5oAqOdJRBCsUyMaM/edit?usp=share_link"",""ตรัง!J363"")+IMPORTRANGE(""https://docs.google.com/spreadsheets/d/1T5rRTzFc79aSIvqnzkZNvwPstq829QYz_xALlO1Z0s8/edi"&amp;"t?usp=share_link"",""นครศรีธรรมราช!J363"")+IMPORTRANGE(""https://docs.google.com/spreadsheets/d/1BeghqumK0IvCmRd2QOy6_afsZq7ZtAGrSnVJy2u7WmY/edit?usp=share_link"",""นราธิวาส!J363"")+IMPORTRANGE(""https://docs.google.com/spreadsheets/d/1IwnW3-jjRf74MCLW-6P"&amp;"iFwMUffRQXZwZA7YM609NmRc/edit?usp=share_link"",""ปัตตานี!J363"")+IMPORTRANGE(""https://docs.google.com/spreadsheets/d/1vl4QWbWdFruual5o_wdo6ZSqXZ_it806oja4CctTLKs/edit?usp=share_link"",""พังงา!J363"")+IMPORTRANGE(""https://docs.google.com/spreadsheets/d/1"&amp;"b6QssHQp2FoAPSMKHOy273KNzAomaIKhtdlvuZ_zDNE/edit?usp=share_link"",""พัทลุง!J363"")+IMPORTRANGE(""https://docs.google.com/spreadsheets/d/1o7UZe4_OqlqtLDHrj01Z2YFRSZDf1DMy1n3XViHaxRc/edit?usp=share_link"",""ภูเก็ต!J363"")+IMPORTRANGE(""https://docs.google.c"&amp;"om/spreadsheets/d/1ctPm1vUzcUCPuOj9-eoHUD85PqINFqUB0TjdSWmR5-c/edit?usp=share_link"",""ยะลา!J363"")+IMPORTRANGE(""https://docs.google.com/spreadsheets/d/1YiDIE7Klmt8osgdapRqYWNr7iPGFSsiJqq46S7PYRE0/edit?usp=share_link"",""ระนอง!J363"")+IMPORTRANGE(""https"&amp;"://docs.google.com/spreadsheets/d/16o_4B-V7AWw_6E93bSpXj_XxVv1oVQctk-B6z1dNEWU/edit?usp=share_link"",""สงขลา!J363"")+IMPORTRANGE(""https://docs.google.com/spreadsheets/d/16cywr71Fj4fA5OGRHsZh30ZG2gwJhMAQv69oVBzYHv0/edit?usp=share_link"",""สตูล!J363"")+IMP"&amp;"ORTRANGE(""https://docs.google.com/spreadsheets/d/1vO9Sws6kMtrVtyvrAJptINXjK8TFBoX9xLYOVK_C8bQ/edit?usp=share_link"",""สุราษฎร์ธานี!J363"")"),8932.79)</f>
        <v>8932.7900000000009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20.25" customHeight="1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89">I365+I374</f>
        <v>3984</v>
      </c>
      <c r="J364" s="479">
        <f t="shared" ca="1" si="189"/>
        <v>3389</v>
      </c>
      <c r="K364" s="480">
        <f t="shared" ca="1" si="188"/>
        <v>85.065261044176708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20.25" customHeight="1">
      <c r="A365" s="483"/>
      <c r="B365" s="484"/>
      <c r="C365" s="485"/>
      <c r="D365" s="486" t="s">
        <v>166</v>
      </c>
      <c r="E365" s="487"/>
      <c r="F365" s="487"/>
      <c r="G365" s="488"/>
      <c r="H365" s="489" t="s">
        <v>35</v>
      </c>
      <c r="I365" s="490">
        <f ca="1">IFERROR(__xludf.DUMMYFUNCTION("IMPORTRANGE(""https://docs.google.com/spreadsheets/d/1kC41EOXpGBFOW658Fs3oD8beYlym0-zO54WY-2Qnp9I/edit?usp=share_link"",""กระบี่!I365"")
+IMPORTRANGE(""https://docs.google.com/spreadsheets/d/1FbzMZY_f3MDiEuK7RpCQKrilJ_kpX0Wm7QBZ1L7EjIU/edit?usp=share_link"&amp;""",""ชุมพร!I365"")+IMPORTRANGE(""https://docs.google.com/spreadsheets/d/1v5sN-00LrXuhBxw4dkh2GrG_z4l5oAqOdJRBCsUyMaM/edit?usp=share_link"",""ตรัง!I365"")+IMPORTRANGE(""https://docs.google.com/spreadsheets/d/1T5rRTzFc79aSIvqnzkZNvwPstq829QYz_xALlO1Z0s8/edi"&amp;"t?usp=share_link"",""นครศรีธรรมราช!I365"")+IMPORTRANGE(""https://docs.google.com/spreadsheets/d/1BeghqumK0IvCmRd2QOy6_afsZq7ZtAGrSnVJy2u7WmY/edit?usp=share_link"",""นราธิวาส!I365"")+IMPORTRANGE(""https://docs.google.com/spreadsheets/d/1IwnW3-jjRf74MCLW-6P"&amp;"iFwMUffRQXZwZA7YM609NmRc/edit?usp=share_link"",""ปัตตานี!I365"")+IMPORTRANGE(""https://docs.google.com/spreadsheets/d/1vl4QWbWdFruual5o_wdo6ZSqXZ_it806oja4CctTLKs/edit?usp=share_link"",""พังงา!I365"")+IMPORTRANGE(""https://docs.google.com/spreadsheets/d/1"&amp;"b6QssHQp2FoAPSMKHOy273KNzAomaIKhtdlvuZ_zDNE/edit?usp=share_link"",""พัทลุง!I365"")+IMPORTRANGE(""https://docs.google.com/spreadsheets/d/1o7UZe4_OqlqtLDHrj01Z2YFRSZDf1DMy1n3XViHaxRc/edit?usp=share_link"",""ภูเก็ต!I365"")+IMPORTRANGE(""https://docs.google.c"&amp;"om/spreadsheets/d/1ctPm1vUzcUCPuOj9-eoHUD85PqINFqUB0TjdSWmR5-c/edit?usp=share_link"",""ยะลา!I365"")+IMPORTRANGE(""https://docs.google.com/spreadsheets/d/1YiDIE7Klmt8osgdapRqYWNr7iPGFSsiJqq46S7PYRE0/edit?usp=share_link"",""ระนอง!I365"")+IMPORTRANGE(""https"&amp;"://docs.google.com/spreadsheets/d/16o_4B-V7AWw_6E93bSpXj_XxVv1oVQctk-B6z1dNEWU/edit?usp=share_link"",""สงขลา!I365"")+IMPORTRANGE(""https://docs.google.com/spreadsheets/d/16cywr71Fj4fA5OGRHsZh30ZG2gwJhMAQv69oVBzYHv0/edit?usp=share_link"",""สตูล!I365"")+IMP"&amp;"ORTRANGE(""https://docs.google.com/spreadsheets/d/1vO9Sws6kMtrVtyvrAJptINXjK8TFBoX9xLYOVK_C8bQ/edit?usp=share_link"",""สุราษฎร์ธานี!I365"")"),996)</f>
        <v>996</v>
      </c>
      <c r="J365" s="491">
        <f ca="1">J372</f>
        <v>609</v>
      </c>
      <c r="K365" s="492">
        <f t="shared" ca="1" si="188"/>
        <v>61.144578313253014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20.25" customHeight="1">
      <c r="A366" s="483"/>
      <c r="B366" s="484"/>
      <c r="C366" s="485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IFERROR(__xludf.DUMMYFUNCTION("IMPORTRANGE(""https://docs.google.com/spreadsheets/d/1kC41EOXpGBFOW658Fs3oD8beYlym0-zO54WY-2Qnp9I/edit?usp=share_link"",""กระบี่!J368"")
+IMPORTRANGE(""https://docs.google.com/spreadsheets/d/1FbzMZY_f3MDiEuK7RpCQKrilJ_kpX0Wm7QBZ1L7EjIU/edit?usp=share_link"&amp;""",""ชุมพร!J368"")+IMPORTRANGE(""https://docs.google.com/spreadsheets/d/1v5sN-00LrXuhBxw4dkh2GrG_z4l5oAqOdJRBCsUyMaM/edit?usp=share_link"",""ตรัง!J368"")+IMPORTRANGE(""https://docs.google.com/spreadsheets/d/1T5rRTzFc79aSIvqnzkZNvwPstq829QYz_xALlO1Z0s8/edi"&amp;"t?usp=share_link"",""นครศรีธรรมราช!J368"")+IMPORTRANGE(""https://docs.google.com/spreadsheets/d/1BeghqumK0IvCmRd2QOy6_afsZq7ZtAGrSnVJy2u7WmY/edit?usp=share_link"",""นราธิวาส!J368"")+IMPORTRANGE(""https://docs.google.com/spreadsheets/d/1IwnW3-jjRf74MCLW-6P"&amp;"iFwMUffRQXZwZA7YM609NmRc/edit?usp=share_link"",""ปัตตานี!J368"")+IMPORTRANGE(""https://docs.google.com/spreadsheets/d/1vl4QWbWdFruual5o_wdo6ZSqXZ_it806oja4CctTLKs/edit?usp=share_link"",""พังงา!J368"")+IMPORTRANGE(""https://docs.google.com/spreadsheets/d/1"&amp;"b6QssHQp2FoAPSMKHOy273KNzAomaIKhtdlvuZ_zDNE/edit?usp=share_link"",""พัทลุง!J368"")+IMPORTRANGE(""https://docs.google.com/spreadsheets/d/1o7UZe4_OqlqtLDHrj01Z2YFRSZDf1DMy1n3XViHaxRc/edit?usp=share_link"",""ภูเก็ต!J368"")+IMPORTRANGE(""https://docs.google.c"&amp;"om/spreadsheets/d/1ctPm1vUzcUCPuOj9-eoHUD85PqINFqUB0TjdSWmR5-c/edit?usp=share_link"",""ยะลา!J368"")+IMPORTRANGE(""https://docs.google.com/spreadsheets/d/1YiDIE7Klmt8osgdapRqYWNr7iPGFSsiJqq46S7PYRE0/edit?usp=share_link"",""ระนอง!J368"")+IMPORTRANGE(""https"&amp;"://docs.google.com/spreadsheets/d/16o_4B-V7AWw_6E93bSpXj_XxVv1oVQctk-B6z1dNEWU/edit?usp=share_link"",""สงขลา!J368"")+IMPORTRANGE(""https://docs.google.com/spreadsheets/d/16cywr71Fj4fA5OGRHsZh30ZG2gwJhMAQv69oVBzYHv0/edit?usp=share_link"",""สตูล!J368"")+IMP"&amp;"ORTRANGE(""https://docs.google.com/spreadsheets/d/1vO9Sws6kMtrVtyvrAJptINXjK8TFBoX9xLYOVK_C8bQ/edit?usp=share_link"",""สุราษฎร์ธานี!J368"")"),976)</f>
        <v>976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IFERROR(__xludf.DUMMYFUNCTION("IMPORTRANGE(""https://docs.google.com/spreadsheets/d/1kC41EOXpGBFOW658Fs3oD8beYlym0-zO54WY-2Qnp9I/edit?usp=share_link"",""กระบี่!I369"")
+IMPORTRANGE(""https://docs.google.com/spreadsheets/d/1FbzMZY_f3MDiEuK7RpCQKrilJ_kpX0Wm7QBZ1L7EjIU/edit?usp=share_link"&amp;""",""ชุมพร!I369"")+IMPORTRANGE(""https://docs.google.com/spreadsheets/d/1v5sN-00LrXuhBxw4dkh2GrG_z4l5oAqOdJRBCsUyMaM/edit?usp=share_link"",""ตรัง!I369"")+IMPORTRANGE(""https://docs.google.com/spreadsheets/d/1T5rRTzFc79aSIvqnzkZNvwPstq829QYz_xALlO1Z0s8/edi"&amp;"t?usp=share_link"",""นครศรีธรรมราช!I369"")+IMPORTRANGE(""https://docs.google.com/spreadsheets/d/1BeghqumK0IvCmRd2QOy6_afsZq7ZtAGrSnVJy2u7WmY/edit?usp=share_link"",""นราธิวาส!I369"")+IMPORTRANGE(""https://docs.google.com/spreadsheets/d/1IwnW3-jjRf74MCLW-6P"&amp;"iFwMUffRQXZwZA7YM609NmRc/edit?usp=share_link"",""ปัตตานี!I369"")+IMPORTRANGE(""https://docs.google.com/spreadsheets/d/1vl4QWbWdFruual5o_wdo6ZSqXZ_it806oja4CctTLKs/edit?usp=share_link"",""พังงา!I369"")+IMPORTRANGE(""https://docs.google.com/spreadsheets/d/1"&amp;"b6QssHQp2FoAPSMKHOy273KNzAomaIKhtdlvuZ_zDNE/edit?usp=share_link"",""พัทลุง!I369"")+IMPORTRANGE(""https://docs.google.com/spreadsheets/d/1o7UZe4_OqlqtLDHrj01Z2YFRSZDf1DMy1n3XViHaxRc/edit?usp=share_link"",""ภูเก็ต!I369"")+IMPORTRANGE(""https://docs.google.c"&amp;"om/spreadsheets/d/1ctPm1vUzcUCPuOj9-eoHUD85PqINFqUB0TjdSWmR5-c/edit?usp=share_link"",""ยะลา!I369"")+IMPORTRANGE(""https://docs.google.com/spreadsheets/d/1YiDIE7Klmt8osgdapRqYWNr7iPGFSsiJqq46S7PYRE0/edit?usp=share_link"",""ระนอง!I369"")+IMPORTRANGE(""https"&amp;"://docs.google.com/spreadsheets/d/16o_4B-V7AWw_6E93bSpXj_XxVv1oVQctk-B6z1dNEWU/edit?usp=share_link"",""สงขลา!I369"")+IMPORTRANGE(""https://docs.google.com/spreadsheets/d/16cywr71Fj4fA5OGRHsZh30ZG2gwJhMAQv69oVBzYHv0/edit?usp=share_link"",""สตูล!I369"")+IMP"&amp;"ORTRANGE(""https://docs.google.com/spreadsheets/d/1vO9Sws6kMtrVtyvrAJptINXjK8TFBoX9xLYOVK_C8bQ/edit?usp=share_link"",""สุราษฎร์ธานี!I369"")"),8983)</f>
        <v>8983</v>
      </c>
      <c r="J369" s="270">
        <f ca="1">IFERROR(__xludf.DUMMYFUNCTION("IMPORTRANGE(""https://docs.google.com/spreadsheets/d/1kC41EOXpGBFOW658Fs3oD8beYlym0-zO54WY-2Qnp9I/edit?usp=share_link"",""กระบี่!J369"")
+IMPORTRANGE(""https://docs.google.com/spreadsheets/d/1FbzMZY_f3MDiEuK7RpCQKrilJ_kpX0Wm7QBZ1L7EjIU/edit?usp=share_link"&amp;""",""ชุมพร!J369"")+IMPORTRANGE(""https://docs.google.com/spreadsheets/d/1v5sN-00LrXuhBxw4dkh2GrG_z4l5oAqOdJRBCsUyMaM/edit?usp=share_link"",""ตรัง!J369"")+IMPORTRANGE(""https://docs.google.com/spreadsheets/d/1T5rRTzFc79aSIvqnzkZNvwPstq829QYz_xALlO1Z0s8/edi"&amp;"t?usp=share_link"",""นครศรีธรรมราช!J369"")+IMPORTRANGE(""https://docs.google.com/spreadsheets/d/1BeghqumK0IvCmRd2QOy6_afsZq7ZtAGrSnVJy2u7WmY/edit?usp=share_link"",""นราธิวาส!J369"")+IMPORTRANGE(""https://docs.google.com/spreadsheets/d/1IwnW3-jjRf74MCLW-6P"&amp;"iFwMUffRQXZwZA7YM609NmRc/edit?usp=share_link"",""ปัตตานี!J369"")+IMPORTRANGE(""https://docs.google.com/spreadsheets/d/1vl4QWbWdFruual5o_wdo6ZSqXZ_it806oja4CctTLKs/edit?usp=share_link"",""พังงา!J369"")+IMPORTRANGE(""https://docs.google.com/spreadsheets/d/1"&amp;"b6QssHQp2FoAPSMKHOy273KNzAomaIKhtdlvuZ_zDNE/edit?usp=share_link"",""พัทลุง!J369"")+IMPORTRANGE(""https://docs.google.com/spreadsheets/d/1o7UZe4_OqlqtLDHrj01Z2YFRSZDf1DMy1n3XViHaxRc/edit?usp=share_link"",""ภูเก็ต!J369"")+IMPORTRANGE(""https://docs.google.c"&amp;"om/spreadsheets/d/1ctPm1vUzcUCPuOj9-eoHUD85PqINFqUB0TjdSWmR5-c/edit?usp=share_link"",""ยะลา!J369"")+IMPORTRANGE(""https://docs.google.com/spreadsheets/d/1YiDIE7Klmt8osgdapRqYWNr7iPGFSsiJqq46S7PYRE0/edit?usp=share_link"",""ระนอง!J369"")+IMPORTRANGE(""https"&amp;"://docs.google.com/spreadsheets/d/16o_4B-V7AWw_6E93bSpXj_XxVv1oVQctk-B6z1dNEWU/edit?usp=share_link"",""สงขลา!J369"")+IMPORTRANGE(""https://docs.google.com/spreadsheets/d/16cywr71Fj4fA5OGRHsZh30ZG2gwJhMAQv69oVBzYHv0/edit?usp=share_link"",""สตูล!J369"")+IMP"&amp;"ORTRANGE(""https://docs.google.com/spreadsheets/d/1vO9Sws6kMtrVtyvrAJptINXjK8TFBoX9xLYOVK_C8bQ/edit?usp=share_link"",""สุราษฎร์ธานี!J369"")"),8671.34)</f>
        <v>8671.34</v>
      </c>
      <c r="K369" s="38">
        <f t="shared" ca="1" si="190"/>
        <v>96.530557720138034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IFERROR(__xludf.DUMMYFUNCTION("IMPORTRANGE(""https://docs.google.com/spreadsheets/d/1kC41EOXpGBFOW658Fs3oD8beYlym0-zO54WY-2Qnp9I/edit?usp=share_link"",""กระบี่!I370"")
+IMPORTRANGE(""https://docs.google.com/spreadsheets/d/1FbzMZY_f3MDiEuK7RpCQKrilJ_kpX0Wm7QBZ1L7EjIU/edit?usp=share_link"&amp;""",""ชุมพร!I370"")+IMPORTRANGE(""https://docs.google.com/spreadsheets/d/1v5sN-00LrXuhBxw4dkh2GrG_z4l5oAqOdJRBCsUyMaM/edit?usp=share_link"",""ตรัง!I370"")+IMPORTRANGE(""https://docs.google.com/spreadsheets/d/1T5rRTzFc79aSIvqnzkZNvwPstq829QYz_xALlO1Z0s8/edi"&amp;"t?usp=share_link"",""นครศรีธรรมราช!I370"")+IMPORTRANGE(""https://docs.google.com/spreadsheets/d/1BeghqumK0IvCmRd2QOy6_afsZq7ZtAGrSnVJy2u7WmY/edit?usp=share_link"",""นราธิวาส!I370"")+IMPORTRANGE(""https://docs.google.com/spreadsheets/d/1IwnW3-jjRf74MCLW-6P"&amp;"iFwMUffRQXZwZA7YM609NmRc/edit?usp=share_link"",""ปัตตานี!I370"")+IMPORTRANGE(""https://docs.google.com/spreadsheets/d/1vl4QWbWdFruual5o_wdo6ZSqXZ_it806oja4CctTLKs/edit?usp=share_link"",""พังงา!I370"")+IMPORTRANGE(""https://docs.google.com/spreadsheets/d/1"&amp;"b6QssHQp2FoAPSMKHOy273KNzAomaIKhtdlvuZ_zDNE/edit?usp=share_link"",""พัทลุง!I370"")+IMPORTRANGE(""https://docs.google.com/spreadsheets/d/1o7UZe4_OqlqtLDHrj01Z2YFRSZDf1DMy1n3XViHaxRc/edit?usp=share_link"",""ภูเก็ต!I370"")+IMPORTRANGE(""https://docs.google.c"&amp;"om/spreadsheets/d/1ctPm1vUzcUCPuOj9-eoHUD85PqINFqUB0TjdSWmR5-c/edit?usp=share_link"",""ยะลา!I370"")+IMPORTRANGE(""https://docs.google.com/spreadsheets/d/1YiDIE7Klmt8osgdapRqYWNr7iPGFSsiJqq46S7PYRE0/edit?usp=share_link"",""ระนอง!I370"")+IMPORTRANGE(""https"&amp;"://docs.google.com/spreadsheets/d/16o_4B-V7AWw_6E93bSpXj_XxVv1oVQctk-B6z1dNEWU/edit?usp=share_link"",""สงขลา!I370"")+IMPORTRANGE(""https://docs.google.com/spreadsheets/d/16cywr71Fj4fA5OGRHsZh30ZG2gwJhMAQv69oVBzYHv0/edit?usp=share_link"",""สตูล!I370"")+IMP"&amp;"ORTRANGE(""https://docs.google.com/spreadsheets/d/1vO9Sws6kMtrVtyvrAJptINXjK8TFBoX9xLYOVK_C8bQ/edit?usp=share_link"",""สุราษฎร์ธานี!I370"")"),996)</f>
        <v>996</v>
      </c>
      <c r="J370" s="270">
        <f ca="1">IFERROR(__xludf.DUMMYFUNCTION("IMPORTRANGE(""https://docs.google.com/spreadsheets/d/1kC41EOXpGBFOW658Fs3oD8beYlym0-zO54WY-2Qnp9I/edit?usp=share_link"",""กระบี่!J370"")
+IMPORTRANGE(""https://docs.google.com/spreadsheets/d/1FbzMZY_f3MDiEuK7RpCQKrilJ_kpX0Wm7QBZ1L7EjIU/edit?usp=share_link"&amp;""",""ชุมพร!J370"")+IMPORTRANGE(""https://docs.google.com/spreadsheets/d/1v5sN-00LrXuhBxw4dkh2GrG_z4l5oAqOdJRBCsUyMaM/edit?usp=share_link"",""ตรัง!J370"")+IMPORTRANGE(""https://docs.google.com/spreadsheets/d/1T5rRTzFc79aSIvqnzkZNvwPstq829QYz_xALlO1Z0s8/edi"&amp;"t?usp=share_link"",""นครศรีธรรมราช!J370"")+IMPORTRANGE(""https://docs.google.com/spreadsheets/d/1BeghqumK0IvCmRd2QOy6_afsZq7ZtAGrSnVJy2u7WmY/edit?usp=share_link"",""นราธิวาส!J370"")+IMPORTRANGE(""https://docs.google.com/spreadsheets/d/1IwnW3-jjRf74MCLW-6P"&amp;"iFwMUffRQXZwZA7YM609NmRc/edit?usp=share_link"",""ปัตตานี!J370"")+IMPORTRANGE(""https://docs.google.com/spreadsheets/d/1vl4QWbWdFruual5o_wdo6ZSqXZ_it806oja4CctTLKs/edit?usp=share_link"",""พังงา!J370"")+IMPORTRANGE(""https://docs.google.com/spreadsheets/d/1"&amp;"b6QssHQp2FoAPSMKHOy273KNzAomaIKhtdlvuZ_zDNE/edit?usp=share_link"",""พัทลุง!J370"")+IMPORTRANGE(""https://docs.google.com/spreadsheets/d/1o7UZe4_OqlqtLDHrj01Z2YFRSZDf1DMy1n3XViHaxRc/edit?usp=share_link"",""ภูเก็ต!J370"")+IMPORTRANGE(""https://docs.google.c"&amp;"om/spreadsheets/d/1ctPm1vUzcUCPuOj9-eoHUD85PqINFqUB0TjdSWmR5-c/edit?usp=share_link"",""ยะลา!J370"")+IMPORTRANGE(""https://docs.google.com/spreadsheets/d/1YiDIE7Klmt8osgdapRqYWNr7iPGFSsiJqq46S7PYRE0/edit?usp=share_link"",""ระนอง!J370"")+IMPORTRANGE(""https"&amp;"://docs.google.com/spreadsheets/d/16o_4B-V7AWw_6E93bSpXj_XxVv1oVQctk-B6z1dNEWU/edit?usp=share_link"",""สงขลา!J370"")+IMPORTRANGE(""https://docs.google.com/spreadsheets/d/16cywr71Fj4fA5OGRHsZh30ZG2gwJhMAQv69oVBzYHv0/edit?usp=share_link"",""สตูล!J370"")+IMP"&amp;"ORTRANGE(""https://docs.google.com/spreadsheets/d/1vO9Sws6kMtrVtyvrAJptINXjK8TFBoX9xLYOVK_C8bQ/edit?usp=share_link"",""สุราษฎร์ธานี!J370"")"),923)</f>
        <v>923</v>
      </c>
      <c r="K370" s="38">
        <f t="shared" ca="1" si="190"/>
        <v>92.670682730923701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IFERROR(__xludf.DUMMYFUNCTION("IMPORTRANGE(""https://docs.google.com/spreadsheets/d/1kC41EOXpGBFOW658Fs3oD8beYlym0-zO54WY-2Qnp9I/edit?usp=share_link"",""กระบี่!J371"")
+IMPORTRANGE(""https://docs.google.com/spreadsheets/d/1FbzMZY_f3MDiEuK7RpCQKrilJ_kpX0Wm7QBZ1L7EjIU/edit?usp=share_link"&amp;""",""ชุมพร!J371"")+IMPORTRANGE(""https://docs.google.com/spreadsheets/d/1v5sN-00LrXuhBxw4dkh2GrG_z4l5oAqOdJRBCsUyMaM/edit?usp=share_link"",""ตรัง!J371"")+IMPORTRANGE(""https://docs.google.com/spreadsheets/d/1T5rRTzFc79aSIvqnzkZNvwPstq829QYz_xALlO1Z0s8/edi"&amp;"t?usp=share_link"",""นครศรีธรรมราช!J371"")+IMPORTRANGE(""https://docs.google.com/spreadsheets/d/1BeghqumK0IvCmRd2QOy6_afsZq7ZtAGrSnVJy2u7WmY/edit?usp=share_link"",""นราธิวาส!J371"")+IMPORTRANGE(""https://docs.google.com/spreadsheets/d/1IwnW3-jjRf74MCLW-6P"&amp;"iFwMUffRQXZwZA7YM609NmRc/edit?usp=share_link"",""ปัตตานี!J371"")+IMPORTRANGE(""https://docs.google.com/spreadsheets/d/1vl4QWbWdFruual5o_wdo6ZSqXZ_it806oja4CctTLKs/edit?usp=share_link"",""พังงา!J371"")+IMPORTRANGE(""https://docs.google.com/spreadsheets/d/1"&amp;"b6QssHQp2FoAPSMKHOy273KNzAomaIKhtdlvuZ_zDNE/edit?usp=share_link"",""พัทลุง!J371"")+IMPORTRANGE(""https://docs.google.com/spreadsheets/d/1o7UZe4_OqlqtLDHrj01Z2YFRSZDf1DMy1n3XViHaxRc/edit?usp=share_link"",""ภูเก็ต!J371"")+IMPORTRANGE(""https://docs.google.c"&amp;"om/spreadsheets/d/1ctPm1vUzcUCPuOj9-eoHUD85PqINFqUB0TjdSWmR5-c/edit?usp=share_link"",""ยะลา!J371"")+IMPORTRANGE(""https://docs.google.com/spreadsheets/d/1YiDIE7Klmt8osgdapRqYWNr7iPGFSsiJqq46S7PYRE0/edit?usp=share_link"",""ระนอง!J371"")+IMPORTRANGE(""https"&amp;"://docs.google.com/spreadsheets/d/16o_4B-V7AWw_6E93bSpXj_XxVv1oVQctk-B6z1dNEWU/edit?usp=share_link"",""สงขลา!J371"")+IMPORTRANGE(""https://docs.google.com/spreadsheets/d/16cywr71Fj4fA5OGRHsZh30ZG2gwJhMAQv69oVBzYHv0/edit?usp=share_link"",""สตูล!J371"")+IMP"&amp;"ORTRANGE(""https://docs.google.com/spreadsheets/d/1vO9Sws6kMtrVtyvrAJptINXjK8TFBoX9xLYOVK_C8bQ/edit?usp=share_link"",""สุราษฎร์ธานี!J371"")"),9796.04)</f>
        <v>9796.0400000000009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IFERROR(__xludf.DUMMYFUNCTION("IMPORTRANGE(""https://docs.google.com/spreadsheets/d/1kC41EOXpGBFOW658Fs3oD8beYlym0-zO54WY-2Qnp9I/edit?usp=share_link"",""กระบี่!I372"")
+IMPORTRANGE(""https://docs.google.com/spreadsheets/d/1FbzMZY_f3MDiEuK7RpCQKrilJ_kpX0Wm7QBZ1L7EjIU/edit?usp=share_link"&amp;""",""ชุมพร!I372"")+IMPORTRANGE(""https://docs.google.com/spreadsheets/d/1v5sN-00LrXuhBxw4dkh2GrG_z4l5oAqOdJRBCsUyMaM/edit?usp=share_link"",""ตรัง!I372"")+IMPORTRANGE(""https://docs.google.com/spreadsheets/d/1T5rRTzFc79aSIvqnzkZNvwPstq829QYz_xALlO1Z0s8/edi"&amp;"t?usp=share_link"",""นครศรีธรรมราช!I372"")+IMPORTRANGE(""https://docs.google.com/spreadsheets/d/1BeghqumK0IvCmRd2QOy6_afsZq7ZtAGrSnVJy2u7WmY/edit?usp=share_link"",""นราธิวาส!I372"")+IMPORTRANGE(""https://docs.google.com/spreadsheets/d/1IwnW3-jjRf74MCLW-6P"&amp;"iFwMUffRQXZwZA7YM609NmRc/edit?usp=share_link"",""ปัตตานี!I372"")+IMPORTRANGE(""https://docs.google.com/spreadsheets/d/1vl4QWbWdFruual5o_wdo6ZSqXZ_it806oja4CctTLKs/edit?usp=share_link"",""พังงา!I372"")+IMPORTRANGE(""https://docs.google.com/spreadsheets/d/1"&amp;"b6QssHQp2FoAPSMKHOy273KNzAomaIKhtdlvuZ_zDNE/edit?usp=share_link"",""พัทลุง!I372"")+IMPORTRANGE(""https://docs.google.com/spreadsheets/d/1o7UZe4_OqlqtLDHrj01Z2YFRSZDf1DMy1n3XViHaxRc/edit?usp=share_link"",""ภูเก็ต!I372"")+IMPORTRANGE(""https://docs.google.c"&amp;"om/spreadsheets/d/1ctPm1vUzcUCPuOj9-eoHUD85PqINFqUB0TjdSWmR5-c/edit?usp=share_link"",""ยะลา!I372"")+IMPORTRANGE(""https://docs.google.com/spreadsheets/d/1YiDIE7Klmt8osgdapRqYWNr7iPGFSsiJqq46S7PYRE0/edit?usp=share_link"",""ระนอง!I372"")+IMPORTRANGE(""https"&amp;"://docs.google.com/spreadsheets/d/16o_4B-V7AWw_6E93bSpXj_XxVv1oVQctk-B6z1dNEWU/edit?usp=share_link"",""สงขลา!I372"")+IMPORTRANGE(""https://docs.google.com/spreadsheets/d/16cywr71Fj4fA5OGRHsZh30ZG2gwJhMAQv69oVBzYHv0/edit?usp=share_link"",""สตูล!I372"")+IMP"&amp;"ORTRANGE(""https://docs.google.com/spreadsheets/d/1vO9Sws6kMtrVtyvrAJptINXjK8TFBoX9xLYOVK_C8bQ/edit?usp=share_link"",""สุราษฎร์ธานี!I372"")"),996)</f>
        <v>996</v>
      </c>
      <c r="J372" s="270">
        <f ca="1">IFERROR(__xludf.DUMMYFUNCTION("IMPORTRANGE(""https://docs.google.com/spreadsheets/d/1kC41EOXpGBFOW658Fs3oD8beYlym0-zO54WY-2Qnp9I/edit?usp=share_link"",""กระบี่!J372"")
+IMPORTRANGE(""https://docs.google.com/spreadsheets/d/1FbzMZY_f3MDiEuK7RpCQKrilJ_kpX0Wm7QBZ1L7EjIU/edit?usp=share_link"&amp;""",""ชุมพร!J372"")+IMPORTRANGE(""https://docs.google.com/spreadsheets/d/1v5sN-00LrXuhBxw4dkh2GrG_z4l5oAqOdJRBCsUyMaM/edit?usp=share_link"",""ตรัง!J372"")+IMPORTRANGE(""https://docs.google.com/spreadsheets/d/1T5rRTzFc79aSIvqnzkZNvwPstq829QYz_xALlO1Z0s8/edi"&amp;"t?usp=share_link"",""นครศรีธรรมราช!J372"")+IMPORTRANGE(""https://docs.google.com/spreadsheets/d/1BeghqumK0IvCmRd2QOy6_afsZq7ZtAGrSnVJy2u7WmY/edit?usp=share_link"",""นราธิวาส!J372"")+IMPORTRANGE(""https://docs.google.com/spreadsheets/d/1IwnW3-jjRf74MCLW-6P"&amp;"iFwMUffRQXZwZA7YM609NmRc/edit?usp=share_link"",""ปัตตานี!J372"")+IMPORTRANGE(""https://docs.google.com/spreadsheets/d/1vl4QWbWdFruual5o_wdo6ZSqXZ_it806oja4CctTLKs/edit?usp=share_link"",""พังงา!J372"")+IMPORTRANGE(""https://docs.google.com/spreadsheets/d/1"&amp;"b6QssHQp2FoAPSMKHOy273KNzAomaIKhtdlvuZ_zDNE/edit?usp=share_link"",""พัทลุง!J372"")+IMPORTRANGE(""https://docs.google.com/spreadsheets/d/1o7UZe4_OqlqtLDHrj01Z2YFRSZDf1DMy1n3XViHaxRc/edit?usp=share_link"",""ภูเก็ต!J372"")+IMPORTRANGE(""https://docs.google.c"&amp;"om/spreadsheets/d/1ctPm1vUzcUCPuOj9-eoHUD85PqINFqUB0TjdSWmR5-c/edit?usp=share_link"",""ยะลา!J372"")+IMPORTRANGE(""https://docs.google.com/spreadsheets/d/1YiDIE7Klmt8osgdapRqYWNr7iPGFSsiJqq46S7PYRE0/edit?usp=share_link"",""ระนอง!J372"")+IMPORTRANGE(""https"&amp;"://docs.google.com/spreadsheets/d/16o_4B-V7AWw_6E93bSpXj_XxVv1oVQctk-B6z1dNEWU/edit?usp=share_link"",""สงขลา!J372"")+IMPORTRANGE(""https://docs.google.com/spreadsheets/d/16cywr71Fj4fA5OGRHsZh30ZG2gwJhMAQv69oVBzYHv0/edit?usp=share_link"",""สตูล!J372"")+IMP"&amp;"ORTRANGE(""https://docs.google.com/spreadsheets/d/1vO9Sws6kMtrVtyvrAJptINXjK8TFBoX9xLYOVK_C8bQ/edit?usp=share_link"",""สุราษฎร์ธานี!J372"")"),609)</f>
        <v>609</v>
      </c>
      <c r="K372" s="38">
        <f t="shared" ca="1" si="190"/>
        <v>61.144578313253014</v>
      </c>
      <c r="L372" s="163"/>
      <c r="M372" s="163"/>
      <c r="N372" s="163"/>
      <c r="O372" s="163"/>
      <c r="P372" s="163"/>
    </row>
    <row r="373" spans="1:26" ht="20.25" customHeight="1">
      <c r="A373" s="471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IFERROR(__xludf.DUMMYFUNCTION("IMPORTRANGE(""https://docs.google.com/spreadsheets/d/1kC41EOXpGBFOW658Fs3oD8beYlym0-zO54WY-2Qnp9I/edit?usp=share_link"",""กระบี่!J373"")
+IMPORTRANGE(""https://docs.google.com/spreadsheets/d/1FbzMZY_f3MDiEuK7RpCQKrilJ_kpX0Wm7QBZ1L7EjIU/edit?usp=share_link"&amp;""",""ชุมพร!J373"")+IMPORTRANGE(""https://docs.google.com/spreadsheets/d/1v5sN-00LrXuhBxw4dkh2GrG_z4l5oAqOdJRBCsUyMaM/edit?usp=share_link"",""ตรัง!J373"")+IMPORTRANGE(""https://docs.google.com/spreadsheets/d/1T5rRTzFc79aSIvqnzkZNvwPstq829QYz_xALlO1Z0s8/edi"&amp;"t?usp=share_link"",""นครศรีธรรมราช!J373"")+IMPORTRANGE(""https://docs.google.com/spreadsheets/d/1BeghqumK0IvCmRd2QOy6_afsZq7ZtAGrSnVJy2u7WmY/edit?usp=share_link"",""นราธิวาส!J373"")+IMPORTRANGE(""https://docs.google.com/spreadsheets/d/1IwnW3-jjRf74MCLW-6P"&amp;"iFwMUffRQXZwZA7YM609NmRc/edit?usp=share_link"",""ปัตตานี!J373"")+IMPORTRANGE(""https://docs.google.com/spreadsheets/d/1vl4QWbWdFruual5o_wdo6ZSqXZ_it806oja4CctTLKs/edit?usp=share_link"",""พังงา!J373"")+IMPORTRANGE(""https://docs.google.com/spreadsheets/d/1"&amp;"b6QssHQp2FoAPSMKHOy273KNzAomaIKhtdlvuZ_zDNE/edit?usp=share_link"",""พัทลุง!J373"")+IMPORTRANGE(""https://docs.google.com/spreadsheets/d/1o7UZe4_OqlqtLDHrj01Z2YFRSZDf1DMy1n3XViHaxRc/edit?usp=share_link"",""ภูเก็ต!J373"")+IMPORTRANGE(""https://docs.google.c"&amp;"om/spreadsheets/d/1ctPm1vUzcUCPuOj9-eoHUD85PqINFqUB0TjdSWmR5-c/edit?usp=share_link"",""ยะลา!J373"")+IMPORTRANGE(""https://docs.google.com/spreadsheets/d/1YiDIE7Klmt8osgdapRqYWNr7iPGFSsiJqq46S7PYRE0/edit?usp=share_link"",""ระนอง!J373"")+IMPORTRANGE(""https"&amp;"://docs.google.com/spreadsheets/d/16o_4B-V7AWw_6E93bSpXj_XxVv1oVQctk-B6z1dNEWU/edit?usp=share_link"",""สงขลา!J373"")+IMPORTRANGE(""https://docs.google.com/spreadsheets/d/16cywr71Fj4fA5OGRHsZh30ZG2gwJhMAQv69oVBzYHv0/edit?usp=share_link"",""สตูล!J373"")+IMP"&amp;"ORTRANGE(""https://docs.google.com/spreadsheets/d/1vO9Sws6kMtrVtyvrAJptINXjK8TFBoX9xLYOVK_C8bQ/edit?usp=share_link"",""สุราษฎร์ธานี!J373"")"),4680.46)</f>
        <v>4680.46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20.25" customHeight="1">
      <c r="A374" s="483"/>
      <c r="B374" s="484"/>
      <c r="C374" s="485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IFERROR(__xludf.DUMMYFUNCTION("IMPORTRANGE(""https://docs.google.com/spreadsheets/d/1kC41EOXpGBFOW658Fs3oD8beYlym0-zO54WY-2Qnp9I/edit?usp=share_link"",""กระบี่!I374"")
+IMPORTRANGE(""https://docs.google.com/spreadsheets/d/1FbzMZY_f3MDiEuK7RpCQKrilJ_kpX0Wm7QBZ1L7EjIU/edit?usp=share_link"&amp;""",""ชุมพร!I374"")+IMPORTRANGE(""https://docs.google.com/spreadsheets/d/1v5sN-00LrXuhBxw4dkh2GrG_z4l5oAqOdJRBCsUyMaM/edit?usp=share_link"",""ตรัง!I374"")+IMPORTRANGE(""https://docs.google.com/spreadsheets/d/1T5rRTzFc79aSIvqnzkZNvwPstq829QYz_xALlO1Z0s8/edi"&amp;"t?usp=share_link"",""นครศรีธรรมราช!I374"")+IMPORTRANGE(""https://docs.google.com/spreadsheets/d/1BeghqumK0IvCmRd2QOy6_afsZq7ZtAGrSnVJy2u7WmY/edit?usp=share_link"",""นราธิวาส!I374"")+IMPORTRANGE(""https://docs.google.com/spreadsheets/d/1IwnW3-jjRf74MCLW-6P"&amp;"iFwMUffRQXZwZA7YM609NmRc/edit?usp=share_link"",""ปัตตานี!I374"")+IMPORTRANGE(""https://docs.google.com/spreadsheets/d/1vl4QWbWdFruual5o_wdo6ZSqXZ_it806oja4CctTLKs/edit?usp=share_link"",""พังงา!I374"")+IMPORTRANGE(""https://docs.google.com/spreadsheets/d/1"&amp;"b6QssHQp2FoAPSMKHOy273KNzAomaIKhtdlvuZ_zDNE/edit?usp=share_link"",""พัทลุง!I374"")+IMPORTRANGE(""https://docs.google.com/spreadsheets/d/1o7UZe4_OqlqtLDHrj01Z2YFRSZDf1DMy1n3XViHaxRc/edit?usp=share_link"",""ภูเก็ต!I374"")+IMPORTRANGE(""https://docs.google.c"&amp;"om/spreadsheets/d/1ctPm1vUzcUCPuOj9-eoHUD85PqINFqUB0TjdSWmR5-c/edit?usp=share_link"",""ยะลา!I374"")+IMPORTRANGE(""https://docs.google.com/spreadsheets/d/1YiDIE7Klmt8osgdapRqYWNr7iPGFSsiJqq46S7PYRE0/edit?usp=share_link"",""ระนอง!I374"")+IMPORTRANGE(""https"&amp;"://docs.google.com/spreadsheets/d/16o_4B-V7AWw_6E93bSpXj_XxVv1oVQctk-B6z1dNEWU/edit?usp=share_link"",""สงขลา!I374"")+IMPORTRANGE(""https://docs.google.com/spreadsheets/d/16cywr71Fj4fA5OGRHsZh30ZG2gwJhMAQv69oVBzYHv0/edit?usp=share_link"",""สตูล!I374"")+IMP"&amp;"ORTRANGE(""https://docs.google.com/spreadsheets/d/1vO9Sws6kMtrVtyvrAJptINXjK8TFBoX9xLYOVK_C8bQ/edit?usp=share_link"",""สุราษฎร์ธานี!I374"")"),2988)</f>
        <v>2988</v>
      </c>
      <c r="J374" s="491">
        <f ca="1">J381</f>
        <v>2780</v>
      </c>
      <c r="K374" s="492">
        <f t="shared" ca="1" si="190"/>
        <v>93.038821954484604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20.25" customHeight="1">
      <c r="A375" s="483"/>
      <c r="B375" s="484"/>
      <c r="C375" s="485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IFERROR(__xludf.DUMMYFUNCTION("IMPORTRANGE(""https://docs.google.com/spreadsheets/d/1kC41EOXpGBFOW658Fs3oD8beYlym0-zO54WY-2Qnp9I/edit?usp=share_link"",""กระบี่!J377"")
+IMPORTRANGE(""https://docs.google.com/spreadsheets/d/1FbzMZY_f3MDiEuK7RpCQKrilJ_kpX0Wm7QBZ1L7EjIU/edit?usp=share_link"&amp;""",""ชุมพร!J377"")+IMPORTRANGE(""https://docs.google.com/spreadsheets/d/1v5sN-00LrXuhBxw4dkh2GrG_z4l5oAqOdJRBCsUyMaM/edit?usp=share_link"",""ตรัง!J377"")+IMPORTRANGE(""https://docs.google.com/spreadsheets/d/1T5rRTzFc79aSIvqnzkZNvwPstq829QYz_xALlO1Z0s8/edi"&amp;"t?usp=share_link"",""นครศรีธรรมราช!J377"")+IMPORTRANGE(""https://docs.google.com/spreadsheets/d/1BeghqumK0IvCmRd2QOy6_afsZq7ZtAGrSnVJy2u7WmY/edit?usp=share_link"",""นราธิวาส!J377"")+IMPORTRANGE(""https://docs.google.com/spreadsheets/d/1IwnW3-jjRf74MCLW-6P"&amp;"iFwMUffRQXZwZA7YM609NmRc/edit?usp=share_link"",""ปัตตานี!J377"")+IMPORTRANGE(""https://docs.google.com/spreadsheets/d/1vl4QWbWdFruual5o_wdo6ZSqXZ_it806oja4CctTLKs/edit?usp=share_link"",""พังงา!J377"")+IMPORTRANGE(""https://docs.google.com/spreadsheets/d/1"&amp;"b6QssHQp2FoAPSMKHOy273KNzAomaIKhtdlvuZ_zDNE/edit?usp=share_link"",""พัทลุง!J377"")+IMPORTRANGE(""https://docs.google.com/spreadsheets/d/1o7UZe4_OqlqtLDHrj01Z2YFRSZDf1DMy1n3XViHaxRc/edit?usp=share_link"",""ภูเก็ต!J377"")+IMPORTRANGE(""https://docs.google.c"&amp;"om/spreadsheets/d/1ctPm1vUzcUCPuOj9-eoHUD85PqINFqUB0TjdSWmR5-c/edit?usp=share_link"",""ยะลา!J377"")+IMPORTRANGE(""https://docs.google.com/spreadsheets/d/1YiDIE7Klmt8osgdapRqYWNr7iPGFSsiJqq46S7PYRE0/edit?usp=share_link"",""ระนอง!J377"")+IMPORTRANGE(""https"&amp;"://docs.google.com/spreadsheets/d/16o_4B-V7AWw_6E93bSpXj_XxVv1oVQctk-B6z1dNEWU/edit?usp=share_link"",""สงขลา!J377"")+IMPORTRANGE(""https://docs.google.com/spreadsheets/d/16cywr71Fj4fA5OGRHsZh30ZG2gwJhMAQv69oVBzYHv0/edit?usp=share_link"",""สตูล!J377"")+IMP"&amp;"ORTRANGE(""https://docs.google.com/spreadsheets/d/1vO9Sws6kMtrVtyvrAJptINXjK8TFBoX9xLYOVK_C8bQ/edit?usp=share_link"",""สุราษฎร์ธานี!J377"")"),1295)</f>
        <v>1295</v>
      </c>
      <c r="K377" s="498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IFERROR(__xludf.DUMMYFUNCTION("IMPORTRANGE(""https://docs.google.com/spreadsheets/d/1kC41EOXpGBFOW658Fs3oD8beYlym0-zO54WY-2Qnp9I/edit?usp=share_link"",""กระบี่!I378"")
+IMPORTRANGE(""https://docs.google.com/spreadsheets/d/1FbzMZY_f3MDiEuK7RpCQKrilJ_kpX0Wm7QBZ1L7EjIU/edit?usp=share_link"&amp;""",""ชุมพร!I378"")+IMPORTRANGE(""https://docs.google.com/spreadsheets/d/1v5sN-00LrXuhBxw4dkh2GrG_z4l5oAqOdJRBCsUyMaM/edit?usp=share_link"",""ตรัง!I378"")+IMPORTRANGE(""https://docs.google.com/spreadsheets/d/1T5rRTzFc79aSIvqnzkZNvwPstq829QYz_xALlO1Z0s8/edi"&amp;"t?usp=share_link"",""นครศรีธรรมราช!I378"")+IMPORTRANGE(""https://docs.google.com/spreadsheets/d/1BeghqumK0IvCmRd2QOy6_afsZq7ZtAGrSnVJy2u7WmY/edit?usp=share_link"",""นราธิวาส!I378"")+IMPORTRANGE(""https://docs.google.com/spreadsheets/d/1IwnW3-jjRf74MCLW-6P"&amp;"iFwMUffRQXZwZA7YM609NmRc/edit?usp=share_link"",""ปัตตานี!I378"")+IMPORTRANGE(""https://docs.google.com/spreadsheets/d/1vl4QWbWdFruual5o_wdo6ZSqXZ_it806oja4CctTLKs/edit?usp=share_link"",""พังงา!I378"")+IMPORTRANGE(""https://docs.google.com/spreadsheets/d/1"&amp;"b6QssHQp2FoAPSMKHOy273KNzAomaIKhtdlvuZ_zDNE/edit?usp=share_link"",""พัทลุง!I378"")+IMPORTRANGE(""https://docs.google.com/spreadsheets/d/1o7UZe4_OqlqtLDHrj01Z2YFRSZDf1DMy1n3XViHaxRc/edit?usp=share_link"",""ภูเก็ต!I378"")+IMPORTRANGE(""https://docs.google.c"&amp;"om/spreadsheets/d/1ctPm1vUzcUCPuOj9-eoHUD85PqINFqUB0TjdSWmR5-c/edit?usp=share_link"",""ยะลา!I378"")+IMPORTRANGE(""https://docs.google.com/spreadsheets/d/1YiDIE7Klmt8osgdapRqYWNr7iPGFSsiJqq46S7PYRE0/edit?usp=share_link"",""ระนอง!I378"")+IMPORTRANGE(""https"&amp;"://docs.google.com/spreadsheets/d/16o_4B-V7AWw_6E93bSpXj_XxVv1oVQctk-B6z1dNEWU/edit?usp=share_link"",""สงขลา!I378"")+IMPORTRANGE(""https://docs.google.com/spreadsheets/d/16cywr71Fj4fA5OGRHsZh30ZG2gwJhMAQv69oVBzYHv0/edit?usp=share_link"",""สตูล!I378"")+IMP"&amp;"ORTRANGE(""https://docs.google.com/spreadsheets/d/1vO9Sws6kMtrVtyvrAJptINXjK8TFBoX9xLYOVK_C8bQ/edit?usp=share_link"",""สุราษฎร์ธานี!I378"")"),11151)</f>
        <v>11151</v>
      </c>
      <c r="J378" s="270">
        <f ca="1">IFERROR(__xludf.DUMMYFUNCTION("IMPORTRANGE(""https://docs.google.com/spreadsheets/d/1kC41EOXpGBFOW658Fs3oD8beYlym0-zO54WY-2Qnp9I/edit?usp=share_link"",""กระบี่!J378"")
+IMPORTRANGE(""https://docs.google.com/spreadsheets/d/1FbzMZY_f3MDiEuK7RpCQKrilJ_kpX0Wm7QBZ1L7EjIU/edit?usp=share_link"&amp;""",""ชุมพร!J378"")+IMPORTRANGE(""https://docs.google.com/spreadsheets/d/1v5sN-00LrXuhBxw4dkh2GrG_z4l5oAqOdJRBCsUyMaM/edit?usp=share_link"",""ตรัง!J378"")+IMPORTRANGE(""https://docs.google.com/spreadsheets/d/1T5rRTzFc79aSIvqnzkZNvwPstq829QYz_xALlO1Z0s8/edi"&amp;"t?usp=share_link"",""นครศรีธรรมราช!J378"")+IMPORTRANGE(""https://docs.google.com/spreadsheets/d/1BeghqumK0IvCmRd2QOy6_afsZq7ZtAGrSnVJy2u7WmY/edit?usp=share_link"",""นราธิวาส!J378"")+IMPORTRANGE(""https://docs.google.com/spreadsheets/d/1IwnW3-jjRf74MCLW-6P"&amp;"iFwMUffRQXZwZA7YM609NmRc/edit?usp=share_link"",""ปัตตานี!J378"")+IMPORTRANGE(""https://docs.google.com/spreadsheets/d/1vl4QWbWdFruual5o_wdo6ZSqXZ_it806oja4CctTLKs/edit?usp=share_link"",""พังงา!J378"")+IMPORTRANGE(""https://docs.google.com/spreadsheets/d/1"&amp;"b6QssHQp2FoAPSMKHOy273KNzAomaIKhtdlvuZ_zDNE/edit?usp=share_link"",""พัทลุง!J378"")+IMPORTRANGE(""https://docs.google.com/spreadsheets/d/1o7UZe4_OqlqtLDHrj01Z2YFRSZDf1DMy1n3XViHaxRc/edit?usp=share_link"",""ภูเก็ต!J378"")+IMPORTRANGE(""https://docs.google.c"&amp;"om/spreadsheets/d/1ctPm1vUzcUCPuOj9-eoHUD85PqINFqUB0TjdSWmR5-c/edit?usp=share_link"",""ยะลา!J378"")+IMPORTRANGE(""https://docs.google.com/spreadsheets/d/1YiDIE7Klmt8osgdapRqYWNr7iPGFSsiJqq46S7PYRE0/edit?usp=share_link"",""ระนอง!J378"")+IMPORTRANGE(""https"&amp;"://docs.google.com/spreadsheets/d/16o_4B-V7AWw_6E93bSpXj_XxVv1oVQctk-B6z1dNEWU/edit?usp=share_link"",""สงขลา!J378"")+IMPORTRANGE(""https://docs.google.com/spreadsheets/d/16cywr71Fj4fA5OGRHsZh30ZG2gwJhMAQv69oVBzYHv0/edit?usp=share_link"",""สตูล!J378"")+IMP"&amp;"ORTRANGE(""https://docs.google.com/spreadsheets/d/1vO9Sws6kMtrVtyvrAJptINXjK8TFBoX9xLYOVK_C8bQ/edit?usp=share_link"",""สุราษฎร์ธานี!J378"")"),11166.74)</f>
        <v>11166.74</v>
      </c>
      <c r="K378" s="498">
        <f t="shared" ca="1" si="191"/>
        <v>100.14115325979732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IFERROR(__xludf.DUMMYFUNCTION("IMPORTRANGE(""https://docs.google.com/spreadsheets/d/1kC41EOXpGBFOW658Fs3oD8beYlym0-zO54WY-2Qnp9I/edit?usp=share_link"",""กระบี่!I379"")
+IMPORTRANGE(""https://docs.google.com/spreadsheets/d/1FbzMZY_f3MDiEuK7RpCQKrilJ_kpX0Wm7QBZ1L7EjIU/edit?usp=share_link"&amp;""",""ชุมพร!I379"")+IMPORTRANGE(""https://docs.google.com/spreadsheets/d/1v5sN-00LrXuhBxw4dkh2GrG_z4l5oAqOdJRBCsUyMaM/edit?usp=share_link"",""ตรัง!I379"")+IMPORTRANGE(""https://docs.google.com/spreadsheets/d/1T5rRTzFc79aSIvqnzkZNvwPstq829QYz_xALlO1Z0s8/edi"&amp;"t?usp=share_link"",""นครศรีธรรมราช!I379"")+IMPORTRANGE(""https://docs.google.com/spreadsheets/d/1BeghqumK0IvCmRd2QOy6_afsZq7ZtAGrSnVJy2u7WmY/edit?usp=share_link"",""นราธิวาส!I379"")+IMPORTRANGE(""https://docs.google.com/spreadsheets/d/1IwnW3-jjRf74MCLW-6P"&amp;"iFwMUffRQXZwZA7YM609NmRc/edit?usp=share_link"",""ปัตตานี!I379"")+IMPORTRANGE(""https://docs.google.com/spreadsheets/d/1vl4QWbWdFruual5o_wdo6ZSqXZ_it806oja4CctTLKs/edit?usp=share_link"",""พังงา!I379"")+IMPORTRANGE(""https://docs.google.com/spreadsheets/d/1"&amp;"b6QssHQp2FoAPSMKHOy273KNzAomaIKhtdlvuZ_zDNE/edit?usp=share_link"",""พัทลุง!I379"")+IMPORTRANGE(""https://docs.google.com/spreadsheets/d/1o7UZe4_OqlqtLDHrj01Z2YFRSZDf1DMy1n3XViHaxRc/edit?usp=share_link"",""ภูเก็ต!I379"")+IMPORTRANGE(""https://docs.google.c"&amp;"om/spreadsheets/d/1ctPm1vUzcUCPuOj9-eoHUD85PqINFqUB0TjdSWmR5-c/edit?usp=share_link"",""ยะลา!I379"")+IMPORTRANGE(""https://docs.google.com/spreadsheets/d/1YiDIE7Klmt8osgdapRqYWNr7iPGFSsiJqq46S7PYRE0/edit?usp=share_link"",""ระนอง!I379"")+IMPORTRANGE(""https"&amp;"://docs.google.com/spreadsheets/d/16o_4B-V7AWw_6E93bSpXj_XxVv1oVQctk-B6z1dNEWU/edit?usp=share_link"",""สงขลา!I379"")+IMPORTRANGE(""https://docs.google.com/spreadsheets/d/16cywr71Fj4fA5OGRHsZh30ZG2gwJhMAQv69oVBzYHv0/edit?usp=share_link"",""สตูล!I379"")+IMP"&amp;"ORTRANGE(""https://docs.google.com/spreadsheets/d/1vO9Sws6kMtrVtyvrAJptINXjK8TFBoX9xLYOVK_C8bQ/edit?usp=share_link"",""สุราษฎร์ธานี!I379"")"),2988)</f>
        <v>2988</v>
      </c>
      <c r="J379" s="270">
        <f ca="1">IFERROR(__xludf.DUMMYFUNCTION("IMPORTRANGE(""https://docs.google.com/spreadsheets/d/1kC41EOXpGBFOW658Fs3oD8beYlym0-zO54WY-2Qnp9I/edit?usp=share_link"",""กระบี่!J379"")
+IMPORTRANGE(""https://docs.google.com/spreadsheets/d/1FbzMZY_f3MDiEuK7RpCQKrilJ_kpX0Wm7QBZ1L7EjIU/edit?usp=share_link"&amp;""",""ชุมพร!J379"")+IMPORTRANGE(""https://docs.google.com/spreadsheets/d/1v5sN-00LrXuhBxw4dkh2GrG_z4l5oAqOdJRBCsUyMaM/edit?usp=share_link"",""ตรัง!J379"")+IMPORTRANGE(""https://docs.google.com/spreadsheets/d/1T5rRTzFc79aSIvqnzkZNvwPstq829QYz_xALlO1Z0s8/edi"&amp;"t?usp=share_link"",""นครศรีธรรมราช!J379"")+IMPORTRANGE(""https://docs.google.com/spreadsheets/d/1BeghqumK0IvCmRd2QOy6_afsZq7ZtAGrSnVJy2u7WmY/edit?usp=share_link"",""นราธิวาส!J379"")+IMPORTRANGE(""https://docs.google.com/spreadsheets/d/1IwnW3-jjRf74MCLW-6P"&amp;"iFwMUffRQXZwZA7YM609NmRc/edit?usp=share_link"",""ปัตตานี!J379"")+IMPORTRANGE(""https://docs.google.com/spreadsheets/d/1vl4QWbWdFruual5o_wdo6ZSqXZ_it806oja4CctTLKs/edit?usp=share_link"",""พังงา!J379"")+IMPORTRANGE(""https://docs.google.com/spreadsheets/d/1"&amp;"b6QssHQp2FoAPSMKHOy273KNzAomaIKhtdlvuZ_zDNE/edit?usp=share_link"",""พัทลุง!J379"")+IMPORTRANGE(""https://docs.google.com/spreadsheets/d/1o7UZe4_OqlqtLDHrj01Z2YFRSZDf1DMy1n3XViHaxRc/edit?usp=share_link"",""ภูเก็ต!J379"")+IMPORTRANGE(""https://docs.google.c"&amp;"om/spreadsheets/d/1ctPm1vUzcUCPuOj9-eoHUD85PqINFqUB0TjdSWmR5-c/edit?usp=share_link"",""ยะลา!J379"")+IMPORTRANGE(""https://docs.google.com/spreadsheets/d/1YiDIE7Klmt8osgdapRqYWNr7iPGFSsiJqq46S7PYRE0/edit?usp=share_link"",""ระนอง!J379"")+IMPORTRANGE(""https"&amp;"://docs.google.com/spreadsheets/d/16o_4B-V7AWw_6E93bSpXj_XxVv1oVQctk-B6z1dNEWU/edit?usp=share_link"",""สงขลา!J379"")+IMPORTRANGE(""https://docs.google.com/spreadsheets/d/16cywr71Fj4fA5OGRHsZh30ZG2gwJhMAQv69oVBzYHv0/edit?usp=share_link"",""สตูล!J379"")+IMP"&amp;"ORTRANGE(""https://docs.google.com/spreadsheets/d/1vO9Sws6kMtrVtyvrAJptINXjK8TFBoX9xLYOVK_C8bQ/edit?usp=share_link"",""สุราษฎร์ธานี!J379"")"),3310)</f>
        <v>3310</v>
      </c>
      <c r="K379" s="498">
        <f t="shared" ca="1" si="191"/>
        <v>110.7764390896921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IFERROR(__xludf.DUMMYFUNCTION("IMPORTRANGE(""https://docs.google.com/spreadsheets/d/1kC41EOXpGBFOW658Fs3oD8beYlym0-zO54WY-2Qnp9I/edit?usp=share_link"",""กระบี่!J380"")
+IMPORTRANGE(""https://docs.google.com/spreadsheets/d/1FbzMZY_f3MDiEuK7RpCQKrilJ_kpX0Wm7QBZ1L7EjIU/edit?usp=share_link"&amp;""",""ชุมพร!J380"")+IMPORTRANGE(""https://docs.google.com/spreadsheets/d/1v5sN-00LrXuhBxw4dkh2GrG_z4l5oAqOdJRBCsUyMaM/edit?usp=share_link"",""ตรัง!J380"")+IMPORTRANGE(""https://docs.google.com/spreadsheets/d/1T5rRTzFc79aSIvqnzkZNvwPstq829QYz_xALlO1Z0s8/edi"&amp;"t?usp=share_link"",""นครศรีธรรมราช!J380"")+IMPORTRANGE(""https://docs.google.com/spreadsheets/d/1BeghqumK0IvCmRd2QOy6_afsZq7ZtAGrSnVJy2u7WmY/edit?usp=share_link"",""นราธิวาส!J380"")+IMPORTRANGE(""https://docs.google.com/spreadsheets/d/1IwnW3-jjRf74MCLW-6P"&amp;"iFwMUffRQXZwZA7YM609NmRc/edit?usp=share_link"",""ปัตตานี!J380"")+IMPORTRANGE(""https://docs.google.com/spreadsheets/d/1vl4QWbWdFruual5o_wdo6ZSqXZ_it806oja4CctTLKs/edit?usp=share_link"",""พังงา!J380"")+IMPORTRANGE(""https://docs.google.com/spreadsheets/d/1"&amp;"b6QssHQp2FoAPSMKHOy273KNzAomaIKhtdlvuZ_zDNE/edit?usp=share_link"",""พัทลุง!J380"")+IMPORTRANGE(""https://docs.google.com/spreadsheets/d/1o7UZe4_OqlqtLDHrj01Z2YFRSZDf1DMy1n3XViHaxRc/edit?usp=share_link"",""ภูเก็ต!J380"")+IMPORTRANGE(""https://docs.google.c"&amp;"om/spreadsheets/d/1ctPm1vUzcUCPuOj9-eoHUD85PqINFqUB0TjdSWmR5-c/edit?usp=share_link"",""ยะลา!J380"")+IMPORTRANGE(""https://docs.google.com/spreadsheets/d/1YiDIE7Klmt8osgdapRqYWNr7iPGFSsiJqq46S7PYRE0/edit?usp=share_link"",""ระนอง!J380"")+IMPORTRANGE(""https"&amp;"://docs.google.com/spreadsheets/d/16o_4B-V7AWw_6E93bSpXj_XxVv1oVQctk-B6z1dNEWU/edit?usp=share_link"",""สงขลา!J380"")+IMPORTRANGE(""https://docs.google.com/spreadsheets/d/16cywr71Fj4fA5OGRHsZh30ZG2gwJhMAQv69oVBzYHv0/edit?usp=share_link"",""สตูล!J380"")+IMP"&amp;"ORTRANGE(""https://docs.google.com/spreadsheets/d/1vO9Sws6kMtrVtyvrAJptINXjK8TFBoX9xLYOVK_C8bQ/edit?usp=share_link"",""สุราษฎร์ธานี!J380"")"),38827.3)</f>
        <v>38827.300000000003</v>
      </c>
      <c r="K380" s="498">
        <f t="shared" si="191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IFERROR(__xludf.DUMMYFUNCTION("IMPORTRANGE(""https://docs.google.com/spreadsheets/d/1kC41EOXpGBFOW658Fs3oD8beYlym0-zO54WY-2Qnp9I/edit?usp=share_link"",""กระบี่!I381"")
+IMPORTRANGE(""https://docs.google.com/spreadsheets/d/1FbzMZY_f3MDiEuK7RpCQKrilJ_kpX0Wm7QBZ1L7EjIU/edit?usp=share_link"&amp;""",""ชุมพร!I381"")+IMPORTRANGE(""https://docs.google.com/spreadsheets/d/1v5sN-00LrXuhBxw4dkh2GrG_z4l5oAqOdJRBCsUyMaM/edit?usp=share_link"",""ตรัง!I381"")+IMPORTRANGE(""https://docs.google.com/spreadsheets/d/1T5rRTzFc79aSIvqnzkZNvwPstq829QYz_xALlO1Z0s8/edi"&amp;"t?usp=share_link"",""นครศรีธรรมราช!I381"")+IMPORTRANGE(""https://docs.google.com/spreadsheets/d/1BeghqumK0IvCmRd2QOy6_afsZq7ZtAGrSnVJy2u7WmY/edit?usp=share_link"",""นราธิวาส!I381"")+IMPORTRANGE(""https://docs.google.com/spreadsheets/d/1IwnW3-jjRf74MCLW-6P"&amp;"iFwMUffRQXZwZA7YM609NmRc/edit?usp=share_link"",""ปัตตานี!I381"")+IMPORTRANGE(""https://docs.google.com/spreadsheets/d/1vl4QWbWdFruual5o_wdo6ZSqXZ_it806oja4CctTLKs/edit?usp=share_link"",""พังงา!I381"")+IMPORTRANGE(""https://docs.google.com/spreadsheets/d/1"&amp;"b6QssHQp2FoAPSMKHOy273KNzAomaIKhtdlvuZ_zDNE/edit?usp=share_link"",""พัทลุง!I381"")+IMPORTRANGE(""https://docs.google.com/spreadsheets/d/1o7UZe4_OqlqtLDHrj01Z2YFRSZDf1DMy1n3XViHaxRc/edit?usp=share_link"",""ภูเก็ต!I381"")+IMPORTRANGE(""https://docs.google.c"&amp;"om/spreadsheets/d/1ctPm1vUzcUCPuOj9-eoHUD85PqINFqUB0TjdSWmR5-c/edit?usp=share_link"",""ยะลา!I381"")+IMPORTRANGE(""https://docs.google.com/spreadsheets/d/1YiDIE7Klmt8osgdapRqYWNr7iPGFSsiJqq46S7PYRE0/edit?usp=share_link"",""ระนอง!I381"")+IMPORTRANGE(""https"&amp;"://docs.google.com/spreadsheets/d/16o_4B-V7AWw_6E93bSpXj_XxVv1oVQctk-B6z1dNEWU/edit?usp=share_link"",""สงขลา!I381"")+IMPORTRANGE(""https://docs.google.com/spreadsheets/d/16cywr71Fj4fA5OGRHsZh30ZG2gwJhMAQv69oVBzYHv0/edit?usp=share_link"",""สตูล!I381"")+IMP"&amp;"ORTRANGE(""https://docs.google.com/spreadsheets/d/1vO9Sws6kMtrVtyvrAJptINXjK8TFBoX9xLYOVK_C8bQ/edit?usp=share_link"",""สุราษฎร์ธานี!I381"")"),2988)</f>
        <v>2988</v>
      </c>
      <c r="J381" s="270">
        <f ca="1">IFERROR(__xludf.DUMMYFUNCTION("IMPORTRANGE(""https://docs.google.com/spreadsheets/d/1kC41EOXpGBFOW658Fs3oD8beYlym0-zO54WY-2Qnp9I/edit?usp=share_link"",""กระบี่!J381"")
+IMPORTRANGE(""https://docs.google.com/spreadsheets/d/1FbzMZY_f3MDiEuK7RpCQKrilJ_kpX0Wm7QBZ1L7EjIU/edit?usp=share_link"&amp;""",""ชุมพร!J381"")+IMPORTRANGE(""https://docs.google.com/spreadsheets/d/1v5sN-00LrXuhBxw4dkh2GrG_z4l5oAqOdJRBCsUyMaM/edit?usp=share_link"",""ตรัง!J381"")+IMPORTRANGE(""https://docs.google.com/spreadsheets/d/1T5rRTzFc79aSIvqnzkZNvwPstq829QYz_xALlO1Z0s8/edi"&amp;"t?usp=share_link"",""นครศรีธรรมราช!J381"")+IMPORTRANGE(""https://docs.google.com/spreadsheets/d/1BeghqumK0IvCmRd2QOy6_afsZq7ZtAGrSnVJy2u7WmY/edit?usp=share_link"",""นราธิวาส!J381"")+IMPORTRANGE(""https://docs.google.com/spreadsheets/d/1IwnW3-jjRf74MCLW-6P"&amp;"iFwMUffRQXZwZA7YM609NmRc/edit?usp=share_link"",""ปัตตานี!J381"")+IMPORTRANGE(""https://docs.google.com/spreadsheets/d/1vl4QWbWdFruual5o_wdo6ZSqXZ_it806oja4CctTLKs/edit?usp=share_link"",""พังงา!J381"")+IMPORTRANGE(""https://docs.google.com/spreadsheets/d/1"&amp;"b6QssHQp2FoAPSMKHOy273KNzAomaIKhtdlvuZ_zDNE/edit?usp=share_link"",""พัทลุง!J381"")+IMPORTRANGE(""https://docs.google.com/spreadsheets/d/1o7UZe4_OqlqtLDHrj01Z2YFRSZDf1DMy1n3XViHaxRc/edit?usp=share_link"",""ภูเก็ต!J381"")+IMPORTRANGE(""https://docs.google.c"&amp;"om/spreadsheets/d/1ctPm1vUzcUCPuOj9-eoHUD85PqINFqUB0TjdSWmR5-c/edit?usp=share_link"",""ยะลา!J381"")+IMPORTRANGE(""https://docs.google.com/spreadsheets/d/1YiDIE7Klmt8osgdapRqYWNr7iPGFSsiJqq46S7PYRE0/edit?usp=share_link"",""ระนอง!J381"")+IMPORTRANGE(""https"&amp;"://docs.google.com/spreadsheets/d/16o_4B-V7AWw_6E93bSpXj_XxVv1oVQctk-B6z1dNEWU/edit?usp=share_link"",""สงขลา!J381"")+IMPORTRANGE(""https://docs.google.com/spreadsheets/d/16cywr71Fj4fA5OGRHsZh30ZG2gwJhMAQv69oVBzYHv0/edit?usp=share_link"",""สตูล!J381"")+IMP"&amp;"ORTRANGE(""https://docs.google.com/spreadsheets/d/1vO9Sws6kMtrVtyvrAJptINXjK8TFBoX9xLYOVK_C8bQ/edit?usp=share_link"",""สุราษฎร์ธานี!J381"")"),2780)</f>
        <v>2780</v>
      </c>
      <c r="K381" s="498">
        <f t="shared" ca="1" si="191"/>
        <v>93.038821954484604</v>
      </c>
      <c r="L381" s="163"/>
      <c r="M381" s="163"/>
      <c r="N381" s="163"/>
      <c r="O381" s="163"/>
      <c r="P381" s="163"/>
    </row>
    <row r="382" spans="1:26" ht="20.25" customHeight="1">
      <c r="A382" s="471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IFERROR(__xludf.DUMMYFUNCTION("IMPORTRANGE(""https://docs.google.com/spreadsheets/d/1kC41EOXpGBFOW658Fs3oD8beYlym0-zO54WY-2Qnp9I/edit?usp=share_link"",""กระบี่!J382"")
+IMPORTRANGE(""https://docs.google.com/spreadsheets/d/1FbzMZY_f3MDiEuK7RpCQKrilJ_kpX0Wm7QBZ1L7EjIU/edit?usp=share_link"&amp;""",""ชุมพร!J382"")+IMPORTRANGE(""https://docs.google.com/spreadsheets/d/1v5sN-00LrXuhBxw4dkh2GrG_z4l5oAqOdJRBCsUyMaM/edit?usp=share_link"",""ตรัง!J382"")+IMPORTRANGE(""https://docs.google.com/spreadsheets/d/1T5rRTzFc79aSIvqnzkZNvwPstq829QYz_xALlO1Z0s8/edi"&amp;"t?usp=share_link"",""นครศรีธรรมราช!J382"")+IMPORTRANGE(""https://docs.google.com/spreadsheets/d/1BeghqumK0IvCmRd2QOy6_afsZq7ZtAGrSnVJy2u7WmY/edit?usp=share_link"",""นราธิวาส!J382"")+IMPORTRANGE(""https://docs.google.com/spreadsheets/d/1IwnW3-jjRf74MCLW-6P"&amp;"iFwMUffRQXZwZA7YM609NmRc/edit?usp=share_link"",""ปัตตานี!J382"")+IMPORTRANGE(""https://docs.google.com/spreadsheets/d/1vl4QWbWdFruual5o_wdo6ZSqXZ_it806oja4CctTLKs/edit?usp=share_link"",""พังงา!J382"")+IMPORTRANGE(""https://docs.google.com/spreadsheets/d/1"&amp;"b6QssHQp2FoAPSMKHOy273KNzAomaIKhtdlvuZ_zDNE/edit?usp=share_link"",""พัทลุง!J382"")+IMPORTRANGE(""https://docs.google.com/spreadsheets/d/1o7UZe4_OqlqtLDHrj01Z2YFRSZDf1DMy1n3XViHaxRc/edit?usp=share_link"",""ภูเก็ต!J382"")+IMPORTRANGE(""https://docs.google.c"&amp;"om/spreadsheets/d/1ctPm1vUzcUCPuOj9-eoHUD85PqINFqUB0TjdSWmR5-c/edit?usp=share_link"",""ยะลา!J382"")+IMPORTRANGE(""https://docs.google.com/spreadsheets/d/1YiDIE7Klmt8osgdapRqYWNr7iPGFSsiJqq46S7PYRE0/edit?usp=share_link"",""ระนอง!J382"")+IMPORTRANGE(""https"&amp;"://docs.google.com/spreadsheets/d/16o_4B-V7AWw_6E93bSpXj_XxVv1oVQctk-B6z1dNEWU/edit?usp=share_link"",""สงขลา!J382"")+IMPORTRANGE(""https://docs.google.com/spreadsheets/d/16cywr71Fj4fA5OGRHsZh30ZG2gwJhMAQv69oVBzYHv0/edit?usp=share_link"",""สตูล!J382"")+IMP"&amp;"ORTRANGE(""https://docs.google.com/spreadsheets/d/1vO9Sws6kMtrVtyvrAJptINXjK8TFBoX9xLYOVK_C8bQ/edit?usp=share_link"",""สุราษฎร์ธานี!J382"")"),34144.94)</f>
        <v>34144.94</v>
      </c>
      <c r="K382" s="498">
        <f t="shared" si="191"/>
        <v>0</v>
      </c>
      <c r="L382" s="163"/>
      <c r="M382" s="163"/>
      <c r="N382" s="163"/>
      <c r="O382" s="163"/>
      <c r="P382" s="163"/>
    </row>
    <row r="383" spans="1:26" ht="20.25" customHeight="1">
      <c r="A383" s="499"/>
      <c r="B383" s="500"/>
      <c r="C383" s="291"/>
      <c r="D383" s="501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IFERROR(__xludf.DUMMYFUNCTION("IMPORTRANGE(""https://docs.google.com/spreadsheets/d/1kC41EOXpGBFOW658Fs3oD8beYlym0-zO54WY-2Qnp9I/edit?usp=share_link"",""กระบี่!I385"")
+IMPORTRANGE(""https://docs.google.com/spreadsheets/d/1FbzMZY_f3MDiEuK7RpCQKrilJ_kpX0Wm7QBZ1L7EjIU/edit?usp=share_link"&amp;""",""ชุมพร!I385"")+IMPORTRANGE(""https://docs.google.com/spreadsheets/d/1v5sN-00LrXuhBxw4dkh2GrG_z4l5oAqOdJRBCsUyMaM/edit?usp=share_link"",""ตรัง!I385"")+IMPORTRANGE(""https://docs.google.com/spreadsheets/d/1T5rRTzFc79aSIvqnzkZNvwPstq829QYz_xALlO1Z0s8/edi"&amp;"t?usp=share_link"",""นครศรีธรรมราช!I385"")+IMPORTRANGE(""https://docs.google.com/spreadsheets/d/1BeghqumK0IvCmRd2QOy6_afsZq7ZtAGrSnVJy2u7WmY/edit?usp=share_link"",""นราธิวาส!I385"")+IMPORTRANGE(""https://docs.google.com/spreadsheets/d/1IwnW3-jjRf74MCLW-6P"&amp;"iFwMUffRQXZwZA7YM609NmRc/edit?usp=share_link"",""ปัตตานี!I385"")+IMPORTRANGE(""https://docs.google.com/spreadsheets/d/1vl4QWbWdFruual5o_wdo6ZSqXZ_it806oja4CctTLKs/edit?usp=share_link"",""พังงา!I385"")+IMPORTRANGE(""https://docs.google.com/spreadsheets/d/1"&amp;"b6QssHQp2FoAPSMKHOy273KNzAomaIKhtdlvuZ_zDNE/edit?usp=share_link"",""พัทลุง!I385"")+IMPORTRANGE(""https://docs.google.com/spreadsheets/d/1o7UZe4_OqlqtLDHrj01Z2YFRSZDf1DMy1n3XViHaxRc/edit?usp=share_link"",""ภูเก็ต!I385"")+IMPORTRANGE(""https://docs.google.c"&amp;"om/spreadsheets/d/1ctPm1vUzcUCPuOj9-eoHUD85PqINFqUB0TjdSWmR5-c/edit?usp=share_link"",""ยะลา!I385"")+IMPORTRANGE(""https://docs.google.com/spreadsheets/d/1YiDIE7Klmt8osgdapRqYWNr7iPGFSsiJqq46S7PYRE0/edit?usp=share_link"",""ระนอง!I385"")+IMPORTRANGE(""https"&amp;"://docs.google.com/spreadsheets/d/16o_4B-V7AWw_6E93bSpXj_XxVv1oVQctk-B6z1dNEWU/edit?usp=share_link"",""สงขลา!I385"")+IMPORTRANGE(""https://docs.google.com/spreadsheets/d/16cywr71Fj4fA5OGRHsZh30ZG2gwJhMAQv69oVBzYHv0/edit?usp=share_link"",""สตูล!I385"")+IMP"&amp;"ORTRANGE(""https://docs.google.com/spreadsheets/d/1vO9Sws6kMtrVtyvrAJptINXjK8TFBoX9xLYOVK_C8bQ/edit?usp=share_link"",""สุราษฎร์ธานี!I385"")"),332)</f>
        <v>332</v>
      </c>
      <c r="J385" s="505">
        <f ca="1">IFERROR(__xludf.DUMMYFUNCTION("IMPORTRANGE(""https://docs.google.com/spreadsheets/d/1kC41EOXpGBFOW658Fs3oD8beYlym0-zO54WY-2Qnp9I/edit?usp=share_link"",""กระบี่!J385"")
+IMPORTRANGE(""https://docs.google.com/spreadsheets/d/1FbzMZY_f3MDiEuK7RpCQKrilJ_kpX0Wm7QBZ1L7EjIU/edit?usp=share_link"&amp;""",""ชุมพร!J385"")+IMPORTRANGE(""https://docs.google.com/spreadsheets/d/1v5sN-00LrXuhBxw4dkh2GrG_z4l5oAqOdJRBCsUyMaM/edit?usp=share_link"",""ตรัง!J385"")+IMPORTRANGE(""https://docs.google.com/spreadsheets/d/1T5rRTzFc79aSIvqnzkZNvwPstq829QYz_xALlO1Z0s8/edi"&amp;"t?usp=share_link"",""นครศรีธรรมราช!J385"")+IMPORTRANGE(""https://docs.google.com/spreadsheets/d/1BeghqumK0IvCmRd2QOy6_afsZq7ZtAGrSnVJy2u7WmY/edit?usp=share_link"",""นราธิวาส!J385"")+IMPORTRANGE(""https://docs.google.com/spreadsheets/d/1IwnW3-jjRf74MCLW-6P"&amp;"iFwMUffRQXZwZA7YM609NmRc/edit?usp=share_link"",""ปัตตานี!J385"")+IMPORTRANGE(""https://docs.google.com/spreadsheets/d/1vl4QWbWdFruual5o_wdo6ZSqXZ_it806oja4CctTLKs/edit?usp=share_link"",""พังงา!J385"")+IMPORTRANGE(""https://docs.google.com/spreadsheets/d/1"&amp;"b6QssHQp2FoAPSMKHOy273KNzAomaIKhtdlvuZ_zDNE/edit?usp=share_link"",""พัทลุง!J385"")+IMPORTRANGE(""https://docs.google.com/spreadsheets/d/1o7UZe4_OqlqtLDHrj01Z2YFRSZDf1DMy1n3XViHaxRc/edit?usp=share_link"",""ภูเก็ต!J385"")+IMPORTRANGE(""https://docs.google.c"&amp;"om/spreadsheets/d/1ctPm1vUzcUCPuOj9-eoHUD85PqINFqUB0TjdSWmR5-c/edit?usp=share_link"",""ยะลา!J385"")+IMPORTRANGE(""https://docs.google.com/spreadsheets/d/1YiDIE7Klmt8osgdapRqYWNr7iPGFSsiJqq46S7PYRE0/edit?usp=share_link"",""ระนอง!J385"")+IMPORTRANGE(""https"&amp;"://docs.google.com/spreadsheets/d/16o_4B-V7AWw_6E93bSpXj_XxVv1oVQctk-B6z1dNEWU/edit?usp=share_link"",""สงขลา!J385"")+IMPORTRANGE(""https://docs.google.com/spreadsheets/d/16cywr71Fj4fA5OGRHsZh30ZG2gwJhMAQv69oVBzYHv0/edit?usp=share_link"",""สตูล!J385"")+IMP"&amp;"ORTRANGE(""https://docs.google.com/spreadsheets/d/1vO9Sws6kMtrVtyvrAJptINXjK8TFBoX9xLYOVK_C8bQ/edit?usp=share_link"",""สุราษฎร์ธานี!J385"")"),156)</f>
        <v>156</v>
      </c>
      <c r="K385" s="506">
        <f ca="1">IF(I385&gt;0,J385*100/I385,0)</f>
        <v>46.987951807228917</v>
      </c>
      <c r="L385" s="385"/>
      <c r="M385" s="385"/>
      <c r="N385" s="385"/>
      <c r="O385" s="385"/>
      <c r="P385" s="385"/>
    </row>
    <row r="386" spans="1:26" ht="20.25" customHeight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20.25" customHeight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20.25" customHeight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ca="1" si="192">I400</f>
        <v>0</v>
      </c>
      <c r="J388" s="526">
        <f t="shared" ca="1" si="192"/>
        <v>0</v>
      </c>
      <c r="K388" s="527">
        <f ca="1">IF(I388&gt;0,J388*100/I388,0)</f>
        <v>0</v>
      </c>
      <c r="L388" s="528"/>
      <c r="M388" s="528"/>
      <c r="N388" s="528"/>
      <c r="O388" s="528"/>
      <c r="P388" s="528"/>
    </row>
    <row r="389" spans="1:26" ht="20.25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26000000</v>
      </c>
      <c r="M389" s="155">
        <f t="shared" ca="1" si="193"/>
        <v>26000000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26000000</v>
      </c>
      <c r="M391" s="45">
        <f t="shared" ca="1" si="197"/>
        <v>26000000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IFERROR(__xludf.DUMMYFUNCTION("IMPORTRANGE(""https://docs.google.com/spreadsheets/d/1kC41EOXpGBFOW658Fs3oD8beYlym0-zO54WY-2Qnp9I/edit?usp=share_link"",""กระบี่!L394"")
+IMPORTRANGE(""https://docs.google.com/spreadsheets/d/1FbzMZY_f3MDiEuK7RpCQKrilJ_kpX0Wm7QBZ1L7EjIU/edit?usp=share_link"&amp;""",""ชุมพร!L394"")+IMPORTRANGE(""https://docs.google.com/spreadsheets/d/1v5sN-00LrXuhBxw4dkh2GrG_z4l5oAqOdJRBCsUyMaM/edit?usp=share_link"",""ตรัง!L394"")+IMPORTRANGE(""https://docs.google.com/spreadsheets/d/1T5rRTzFc79aSIvqnzkZNvwPstq829QYz_xALlO1Z0s8/edi"&amp;"t?usp=share_link"",""นครศรีธรรมราช!L394"")+IMPORTRANGE(""https://docs.google.com/spreadsheets/d/1BeghqumK0IvCmRd2QOy6_afsZq7ZtAGrSnVJy2u7WmY/edit?usp=share_link"",""นราธิวาส!L394"")+IMPORTRANGE(""https://docs.google.com/spreadsheets/d/1IwnW3-jjRf74MCLW-6P"&amp;"iFwMUffRQXZwZA7YM609NmRc/edit?usp=share_link"",""ปัตตานี!L394"")+IMPORTRANGE(""https://docs.google.com/spreadsheets/d/1vl4QWbWdFruual5o_wdo6ZSqXZ_it806oja4CctTLKs/edit?usp=share_link"",""พังงา!L394"")+IMPORTRANGE(""https://docs.google.com/spreadsheets/d/1"&amp;"b6QssHQp2FoAPSMKHOy273KNzAomaIKhtdlvuZ_zDNE/edit?usp=share_link"",""พัทลุง!L394"")+IMPORTRANGE(""https://docs.google.com/spreadsheets/d/1o7UZe4_OqlqtLDHrj01Z2YFRSZDf1DMy1n3XViHaxRc/edit?usp=share_link"",""ภูเก็ต!L394"")+IMPORTRANGE(""https://docs.google.c"&amp;"om/spreadsheets/d/1ctPm1vUzcUCPuOj9-eoHUD85PqINFqUB0TjdSWmR5-c/edit?usp=share_link"",""ยะลา!L394"")+IMPORTRANGE(""https://docs.google.com/spreadsheets/d/1YiDIE7Klmt8osgdapRqYWNr7iPGFSsiJqq46S7PYRE0/edit?usp=share_link"",""ระนอง!L394"")+IMPORTRANGE(""https"&amp;"://docs.google.com/spreadsheets/d/16o_4B-V7AWw_6E93bSpXj_XxVv1oVQctk-B6z1dNEWU/edit?usp=share_link"",""สงขลา!L394"")+IMPORTRANGE(""https://docs.google.com/spreadsheets/d/16cywr71Fj4fA5OGRHsZh30ZG2gwJhMAQv69oVBzYHv0/edit?usp=share_link"",""สตูล!L394"")+IMP"&amp;"ORTRANGE(""https://docs.google.com/spreadsheets/d/1vO9Sws6kMtrVtyvrAJptINXjK8TFBoX9xLYOVK_C8bQ/edit?usp=share_link"",""สุราษฎร์ธานี!L394"")"),0)</f>
        <v>0</v>
      </c>
      <c r="M394" s="45">
        <f ca="1">IFERROR(__xludf.DUMMYFUNCTION("IMPORTRANGE(""https://docs.google.com/spreadsheets/d/1kC41EOXpGBFOW658Fs3oD8beYlym0-zO54WY-2Qnp9I/edit?usp=share_link"",""กระบี่!M394"")
+IMPORTRANGE(""https://docs.google.com/spreadsheets/d/1FbzMZY_f3MDiEuK7RpCQKrilJ_kpX0Wm7QBZ1L7EjIU/edit?usp=share_link"&amp;""",""ชุมพร!M394"")+IMPORTRANGE(""https://docs.google.com/spreadsheets/d/1v5sN-00LrXuhBxw4dkh2GrG_z4l5oAqOdJRBCsUyMaM/edit?usp=share_link"",""ตรัง!M394"")+IMPORTRANGE(""https://docs.google.com/spreadsheets/d/1T5rRTzFc79aSIvqnzkZNvwPstq829QYz_xALlO1Z0s8/edi"&amp;"t?usp=share_link"",""นครศรีธรรมราช!M394"")+IMPORTRANGE(""https://docs.google.com/spreadsheets/d/1BeghqumK0IvCmRd2QOy6_afsZq7ZtAGrSnVJy2u7WmY/edit?usp=share_link"",""นราธิวาส!M394"")+IMPORTRANGE(""https://docs.google.com/spreadsheets/d/1IwnW3-jjRf74MCLW-6P"&amp;"iFwMUffRQXZwZA7YM609NmRc/edit?usp=share_link"",""ปัตตานี!M394"")+IMPORTRANGE(""https://docs.google.com/spreadsheets/d/1vl4QWbWdFruual5o_wdo6ZSqXZ_it806oja4CctTLKs/edit?usp=share_link"",""พังงา!M394"")+IMPORTRANGE(""https://docs.google.com/spreadsheets/d/1"&amp;"b6QssHQp2FoAPSMKHOy273KNzAomaIKhtdlvuZ_zDNE/edit?usp=share_link"",""พัทลุง!M394"")+IMPORTRANGE(""https://docs.google.com/spreadsheets/d/1o7UZe4_OqlqtLDHrj01Z2YFRSZDf1DMy1n3XViHaxRc/edit?usp=share_link"",""ภูเก็ต!M394"")+IMPORTRANGE(""https://docs.google.c"&amp;"om/spreadsheets/d/1ctPm1vUzcUCPuOj9-eoHUD85PqINFqUB0TjdSWmR5-c/edit?usp=share_link"",""ยะลา!M394"")+IMPORTRANGE(""https://docs.google.com/spreadsheets/d/1YiDIE7Klmt8osgdapRqYWNr7iPGFSsiJqq46S7PYRE0/edit?usp=share_link"",""ระนอง!M394"")+IMPORTRANGE(""https"&amp;"://docs.google.com/spreadsheets/d/16o_4B-V7AWw_6E93bSpXj_XxVv1oVQctk-B6z1dNEWU/edit?usp=share_link"",""สงขลา!M394"")+IMPORTRANGE(""https://docs.google.com/spreadsheets/d/16cywr71Fj4fA5OGRHsZh30ZG2gwJhMAQv69oVBzYHv0/edit?usp=share_link"",""สตูล!M394"")+IMP"&amp;"ORTRANGE(""https://docs.google.com/spreadsheets/d/1vO9Sws6kMtrVtyvrAJptINXjK8TFBoX9xLYOVK_C8bQ/edit?usp=share_link"",""สุราษฎร์ธานี!M394"")"),0)</f>
        <v>0</v>
      </c>
      <c r="N394" s="45">
        <f ca="1">IFERROR(__xludf.DUMMYFUNCTION("IMPORTRANGE(""https://docs.google.com/spreadsheets/d/1kC41EOXpGBFOW658Fs3oD8beYlym0-zO54WY-2Qnp9I/edit?usp=share_link"",""กระบี่!N394"")
+IMPORTRANGE(""https://docs.google.com/spreadsheets/d/1FbzMZY_f3MDiEuK7RpCQKrilJ_kpX0Wm7QBZ1L7EjIU/edit?usp=share_link"&amp;""",""ชุมพร!N394"")+IMPORTRANGE(""https://docs.google.com/spreadsheets/d/1v5sN-00LrXuhBxw4dkh2GrG_z4l5oAqOdJRBCsUyMaM/edit?usp=share_link"",""ตรัง!N394"")+IMPORTRANGE(""https://docs.google.com/spreadsheets/d/1T5rRTzFc79aSIvqnzkZNvwPstq829QYz_xALlO1Z0s8/edi"&amp;"t?usp=share_link"",""นครศรีธรรมราช!N394"")+IMPORTRANGE(""https://docs.google.com/spreadsheets/d/1BeghqumK0IvCmRd2QOy6_afsZq7ZtAGrSnVJy2u7WmY/edit?usp=share_link"",""นราธิวาส!N394"")+IMPORTRANGE(""https://docs.google.com/spreadsheets/d/1IwnW3-jjRf74MCLW-6P"&amp;"iFwMUffRQXZwZA7YM609NmRc/edit?usp=share_link"",""ปัตตานี!N394"")+IMPORTRANGE(""https://docs.google.com/spreadsheets/d/1vl4QWbWdFruual5o_wdo6ZSqXZ_it806oja4CctTLKs/edit?usp=share_link"",""พังงา!N394"")+IMPORTRANGE(""https://docs.google.com/spreadsheets/d/1"&amp;"b6QssHQp2FoAPSMKHOy273KNzAomaIKhtdlvuZ_zDNE/edit?usp=share_link"",""พัทลุง!N394"")+IMPORTRANGE(""https://docs.google.com/spreadsheets/d/1o7UZe4_OqlqtLDHrj01Z2YFRSZDf1DMy1n3XViHaxRc/edit?usp=share_link"",""ภูเก็ต!N394"")+IMPORTRANGE(""https://docs.google.c"&amp;"om/spreadsheets/d/1ctPm1vUzcUCPuOj9-eoHUD85PqINFqUB0TjdSWmR5-c/edit?usp=share_link"",""ยะลา!N394"")+IMPORTRANGE(""https://docs.google.com/spreadsheets/d/1YiDIE7Klmt8osgdapRqYWNr7iPGFSsiJqq46S7PYRE0/edit?usp=share_link"",""ระนอง!N394"")+IMPORTRANGE(""https"&amp;"://docs.google.com/spreadsheets/d/16o_4B-V7AWw_6E93bSpXj_XxVv1oVQctk-B6z1dNEWU/edit?usp=share_link"",""สงขลา!N394"")+IMPORTRANGE(""https://docs.google.com/spreadsheets/d/16cywr71Fj4fA5OGRHsZh30ZG2gwJhMAQv69oVBzYHv0/edit?usp=share_link"",""สตูล!N394"")+IMP"&amp;"ORTRANGE(""https://docs.google.com/spreadsheets/d/1vO9Sws6kMtrVtyvrAJptINXjK8TFBoX9xLYOVK_C8bQ/edit?usp=share_link"",""สุราษฎร์ธานี!N394"")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26000000</v>
      </c>
      <c r="M395" s="38">
        <f t="shared" ca="1" si="199"/>
        <v>26000000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IFERROR(__xludf.DUMMYFUNCTION("IMPORTRANGE(""https://docs.google.com/spreadsheets/d/1kC41EOXpGBFOW658Fs3oD8beYlym0-zO54WY-2Qnp9I/edit?usp=share_link"",""กระบี่!L397"")
+IMPORTRANGE(""https://docs.google.com/spreadsheets/d/1FbzMZY_f3MDiEuK7RpCQKrilJ_kpX0Wm7QBZ1L7EjIU/edit?usp=share_link"&amp;""",""ชุมพร!L397"")+IMPORTRANGE(""https://docs.google.com/spreadsheets/d/1v5sN-00LrXuhBxw4dkh2GrG_z4l5oAqOdJRBCsUyMaM/edit?usp=share_link"",""ตรัง!L397"")+IMPORTRANGE(""https://docs.google.com/spreadsheets/d/1T5rRTzFc79aSIvqnzkZNvwPstq829QYz_xALlO1Z0s8/edi"&amp;"t?usp=share_link"",""นครศรีธรรมราช!L397"")+IMPORTRANGE(""https://docs.google.com/spreadsheets/d/1BeghqumK0IvCmRd2QOy6_afsZq7ZtAGrSnVJy2u7WmY/edit?usp=share_link"",""นราธิวาส!L397"")+IMPORTRANGE(""https://docs.google.com/spreadsheets/d/1IwnW3-jjRf74MCLW-6P"&amp;"iFwMUffRQXZwZA7YM609NmRc/edit?usp=share_link"",""ปัตตานี!L397"")+IMPORTRANGE(""https://docs.google.com/spreadsheets/d/1vl4QWbWdFruual5o_wdo6ZSqXZ_it806oja4CctTLKs/edit?usp=share_link"",""พังงา!L397"")+IMPORTRANGE(""https://docs.google.com/spreadsheets/d/1"&amp;"b6QssHQp2FoAPSMKHOy273KNzAomaIKhtdlvuZ_zDNE/edit?usp=share_link"",""พัทลุง!L397"")+IMPORTRANGE(""https://docs.google.com/spreadsheets/d/1o7UZe4_OqlqtLDHrj01Z2YFRSZDf1DMy1n3XViHaxRc/edit?usp=share_link"",""ภูเก็ต!L397"")+IMPORTRANGE(""https://docs.google.c"&amp;"om/spreadsheets/d/1ctPm1vUzcUCPuOj9-eoHUD85PqINFqUB0TjdSWmR5-c/edit?usp=share_link"",""ยะลา!L397"")+IMPORTRANGE(""https://docs.google.com/spreadsheets/d/1YiDIE7Klmt8osgdapRqYWNr7iPGFSsiJqq46S7PYRE0/edit?usp=share_link"",""ระนอง!L397"")+IMPORTRANGE(""https"&amp;"://docs.google.com/spreadsheets/d/16o_4B-V7AWw_6E93bSpXj_XxVv1oVQctk-B6z1dNEWU/edit?usp=share_link"",""สงขลา!L397"")+IMPORTRANGE(""https://docs.google.com/spreadsheets/d/16cywr71Fj4fA5OGRHsZh30ZG2gwJhMAQv69oVBzYHv0/edit?usp=share_link"",""สตูล!L397"")+IMP"&amp;"ORTRANGE(""https://docs.google.com/spreadsheets/d/1vO9Sws6kMtrVtyvrAJptINXjK8TFBoX9xLYOVK_C8bQ/edit?usp=share_link"",""สุราษฎร์ธานี!L397"")"),26000000)</f>
        <v>26000000</v>
      </c>
      <c r="M397" s="45">
        <f ca="1">IFERROR(__xludf.DUMMYFUNCTION("IMPORTRANGE(""https://docs.google.com/spreadsheets/d/1kC41EOXpGBFOW658Fs3oD8beYlym0-zO54WY-2Qnp9I/edit?usp=share_link"",""กระบี่!M397"")
+IMPORTRANGE(""https://docs.google.com/spreadsheets/d/1FbzMZY_f3MDiEuK7RpCQKrilJ_kpX0Wm7QBZ1L7EjIU/edit?usp=share_link"&amp;""",""ชุมพร!M397"")+IMPORTRANGE(""https://docs.google.com/spreadsheets/d/1v5sN-00LrXuhBxw4dkh2GrG_z4l5oAqOdJRBCsUyMaM/edit?usp=share_link"",""ตรัง!M397"")+IMPORTRANGE(""https://docs.google.com/spreadsheets/d/1T5rRTzFc79aSIvqnzkZNvwPstq829QYz_xALlO1Z0s8/edi"&amp;"t?usp=share_link"",""นครศรีธรรมราช!M397"")+IMPORTRANGE(""https://docs.google.com/spreadsheets/d/1BeghqumK0IvCmRd2QOy6_afsZq7ZtAGrSnVJy2u7WmY/edit?usp=share_link"",""นราธิวาส!M397"")+IMPORTRANGE(""https://docs.google.com/spreadsheets/d/1IwnW3-jjRf74MCLW-6P"&amp;"iFwMUffRQXZwZA7YM609NmRc/edit?usp=share_link"",""ปัตตานี!M397"")+IMPORTRANGE(""https://docs.google.com/spreadsheets/d/1vl4QWbWdFruual5o_wdo6ZSqXZ_it806oja4CctTLKs/edit?usp=share_link"",""พังงา!M397"")+IMPORTRANGE(""https://docs.google.com/spreadsheets/d/1"&amp;"b6QssHQp2FoAPSMKHOy273KNzAomaIKhtdlvuZ_zDNE/edit?usp=share_link"",""พัทลุง!M397"")+IMPORTRANGE(""https://docs.google.com/spreadsheets/d/1o7UZe4_OqlqtLDHrj01Z2YFRSZDf1DMy1n3XViHaxRc/edit?usp=share_link"",""ภูเก็ต!M397"")+IMPORTRANGE(""https://docs.google.c"&amp;"om/spreadsheets/d/1ctPm1vUzcUCPuOj9-eoHUD85PqINFqUB0TjdSWmR5-c/edit?usp=share_link"",""ยะลา!M397"")+IMPORTRANGE(""https://docs.google.com/spreadsheets/d/1YiDIE7Klmt8osgdapRqYWNr7iPGFSsiJqq46S7PYRE0/edit?usp=share_link"",""ระนอง!M397"")+IMPORTRANGE(""https"&amp;"://docs.google.com/spreadsheets/d/16o_4B-V7AWw_6E93bSpXj_XxVv1oVQctk-B6z1dNEWU/edit?usp=share_link"",""สงขลา!M397"")+IMPORTRANGE(""https://docs.google.com/spreadsheets/d/16cywr71Fj4fA5OGRHsZh30ZG2gwJhMAQv69oVBzYHv0/edit?usp=share_link"",""สตูล!M397"")+IMP"&amp;"ORTRANGE(""https://docs.google.com/spreadsheets/d/1vO9Sws6kMtrVtyvrAJptINXjK8TFBoX9xLYOVK_C8bQ/edit?usp=share_link"",""สุราษฎร์ธานี!M397"")"),26000000)</f>
        <v>26000000</v>
      </c>
      <c r="N397" s="45">
        <f ca="1">IFERROR(__xludf.DUMMYFUNCTION("IMPORTRANGE(""https://docs.google.com/spreadsheets/d/1kC41EOXpGBFOW658Fs3oD8beYlym0-zO54WY-2Qnp9I/edit?usp=share_link"",""กระบี่!N397"")
+IMPORTRANGE(""https://docs.google.com/spreadsheets/d/1FbzMZY_f3MDiEuK7RpCQKrilJ_kpX0Wm7QBZ1L7EjIU/edit?usp=share_link"&amp;""",""ชุมพร!N397"")+IMPORTRANGE(""https://docs.google.com/spreadsheets/d/1v5sN-00LrXuhBxw4dkh2GrG_z4l5oAqOdJRBCsUyMaM/edit?usp=share_link"",""ตรัง!N397"")+IMPORTRANGE(""https://docs.google.com/spreadsheets/d/1T5rRTzFc79aSIvqnzkZNvwPstq829QYz_xALlO1Z0s8/edi"&amp;"t?usp=share_link"",""นครศรีธรรมราช!N397"")+IMPORTRANGE(""https://docs.google.com/spreadsheets/d/1BeghqumK0IvCmRd2QOy6_afsZq7ZtAGrSnVJy2u7WmY/edit?usp=share_link"",""นราธิวาส!N397"")+IMPORTRANGE(""https://docs.google.com/spreadsheets/d/1IwnW3-jjRf74MCLW-6P"&amp;"iFwMUffRQXZwZA7YM609NmRc/edit?usp=share_link"",""ปัตตานี!N397"")+IMPORTRANGE(""https://docs.google.com/spreadsheets/d/1vl4QWbWdFruual5o_wdo6ZSqXZ_it806oja4CctTLKs/edit?usp=share_link"",""พังงา!N397"")+IMPORTRANGE(""https://docs.google.com/spreadsheets/d/1"&amp;"b6QssHQp2FoAPSMKHOy273KNzAomaIKhtdlvuZ_zDNE/edit?usp=share_link"",""พัทลุง!N397"")+IMPORTRANGE(""https://docs.google.com/spreadsheets/d/1o7UZe4_OqlqtLDHrj01Z2YFRSZDf1DMy1n3XViHaxRc/edit?usp=share_link"",""ภูเก็ต!N397"")+IMPORTRANGE(""https://docs.google.c"&amp;"om/spreadsheets/d/1ctPm1vUzcUCPuOj9-eoHUD85PqINFqUB0TjdSWmR5-c/edit?usp=share_link"",""ยะลา!N397"")+IMPORTRANGE(""https://docs.google.com/spreadsheets/d/1YiDIE7Klmt8osgdapRqYWNr7iPGFSsiJqq46S7PYRE0/edit?usp=share_link"",""ระนอง!N397"")+IMPORTRANGE(""https"&amp;"://docs.google.com/spreadsheets/d/16o_4B-V7AWw_6E93bSpXj_XxVv1oVQctk-B6z1dNEWU/edit?usp=share_link"",""สงขลา!N397"")+IMPORTRANGE(""https://docs.google.com/spreadsheets/d/16cywr71Fj4fA5OGRHsZh30ZG2gwJhMAQv69oVBzYHv0/edit?usp=share_link"",""สตูล!N397"")+IMP"&amp;"ORTRANGE(""https://docs.google.com/spreadsheets/d/1vO9Sws6kMtrVtyvrAJptINXjK8TFBoX9xLYOVK_C8bQ/edit?usp=share_link"",""สุราษฎร์ธานี!N397"")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customHeight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f ca="1">IFERROR(__xludf.DUMMYFUNCTION("IMPORTRANGE(""https://docs.google.com/spreadsheets/d/1kC41EOXpGBFOW658Fs3oD8beYlym0-zO54WY-2Qnp9I/edit?usp=share_link"",""กระบี่!I399"")
+IMPORTRANGE(""https://docs.google.com/spreadsheets/d/1FbzMZY_f3MDiEuK7RpCQKrilJ_kpX0Wm7QBZ1L7EjIU/edit?usp=share_link"&amp;""",""ชุมพร!I399"")+IMPORTRANGE(""https://docs.google.com/spreadsheets/d/1v5sN-00LrXuhBxw4dkh2GrG_z4l5oAqOdJRBCsUyMaM/edit?usp=share_link"",""ตรัง!I399"")+IMPORTRANGE(""https://docs.google.com/spreadsheets/d/1T5rRTzFc79aSIvqnzkZNvwPstq829QYz_xALlO1Z0s8/edi"&amp;"t?usp=share_link"",""นครศรีธรรมราช!I399"")+IMPORTRANGE(""https://docs.google.com/spreadsheets/d/1BeghqumK0IvCmRd2QOy6_afsZq7ZtAGrSnVJy2u7WmY/edit?usp=share_link"",""นราธิวาส!I399"")+IMPORTRANGE(""https://docs.google.com/spreadsheets/d/1IwnW3-jjRf74MCLW-6P"&amp;"iFwMUffRQXZwZA7YM609NmRc/edit?usp=share_link"",""ปัตตานี!I399"")+IMPORTRANGE(""https://docs.google.com/spreadsheets/d/1vl4QWbWdFruual5o_wdo6ZSqXZ_it806oja4CctTLKs/edit?usp=share_link"",""พังงา!I399"")+IMPORTRANGE(""https://docs.google.com/spreadsheets/d/1"&amp;"b6QssHQp2FoAPSMKHOy273KNzAomaIKhtdlvuZ_zDNE/edit?usp=share_link"",""พัทลุง!I399"")+IMPORTRANGE(""https://docs.google.com/spreadsheets/d/1o7UZe4_OqlqtLDHrj01Z2YFRSZDf1DMy1n3XViHaxRc/edit?usp=share_link"",""ภูเก็ต!I399"")+IMPORTRANGE(""https://docs.google.c"&amp;"om/spreadsheets/d/1ctPm1vUzcUCPuOj9-eoHUD85PqINFqUB0TjdSWmR5-c/edit?usp=share_link"",""ยะลา!I399"")+IMPORTRANGE(""https://docs.google.com/spreadsheets/d/1YiDIE7Klmt8osgdapRqYWNr7iPGFSsiJqq46S7PYRE0/edit?usp=share_link"",""ระนอง!I399"")+IMPORTRANGE(""https"&amp;"://docs.google.com/spreadsheets/d/16o_4B-V7AWw_6E93bSpXj_XxVv1oVQctk-B6z1dNEWU/edit?usp=share_link"",""สงขลา!I399"")+IMPORTRANGE(""https://docs.google.com/spreadsheets/d/16cywr71Fj4fA5OGRHsZh30ZG2gwJhMAQv69oVBzYHv0/edit?usp=share_link"",""สตูล!I399"")+IMP"&amp;"ORTRANGE(""https://docs.google.com/spreadsheets/d/1vO9Sws6kMtrVtyvrAJptINXjK8TFBoX9xLYOVK_C8bQ/edit?usp=share_link"",""สุราษฎร์ธานี!I399"")"),0)</f>
        <v>0</v>
      </c>
      <c r="J399" s="183">
        <f ca="1">IFERROR(__xludf.DUMMYFUNCTION("IMPORTRANGE(""https://docs.google.com/spreadsheets/d/1kC41EOXpGBFOW658Fs3oD8beYlym0-zO54WY-2Qnp9I/edit?usp=share_link"",""กระบี่!J399"")
+IMPORTRANGE(""https://docs.google.com/spreadsheets/d/1FbzMZY_f3MDiEuK7RpCQKrilJ_kpX0Wm7QBZ1L7EjIU/edit?usp=share_link"&amp;""",""ชุมพร!J399"")+IMPORTRANGE(""https://docs.google.com/spreadsheets/d/1v5sN-00LrXuhBxw4dkh2GrG_z4l5oAqOdJRBCsUyMaM/edit?usp=share_link"",""ตรัง!J399"")+IMPORTRANGE(""https://docs.google.com/spreadsheets/d/1T5rRTzFc79aSIvqnzkZNvwPstq829QYz_xALlO1Z0s8/edi"&amp;"t?usp=share_link"",""นครศรีธรรมราช!J399"")+IMPORTRANGE(""https://docs.google.com/spreadsheets/d/1BeghqumK0IvCmRd2QOy6_afsZq7ZtAGrSnVJy2u7WmY/edit?usp=share_link"",""นราธิวาส!J399"")+IMPORTRANGE(""https://docs.google.com/spreadsheets/d/1IwnW3-jjRf74MCLW-6P"&amp;"iFwMUffRQXZwZA7YM609NmRc/edit?usp=share_link"",""ปัตตานี!J399"")+IMPORTRANGE(""https://docs.google.com/spreadsheets/d/1vl4QWbWdFruual5o_wdo6ZSqXZ_it806oja4CctTLKs/edit?usp=share_link"",""พังงา!J399"")+IMPORTRANGE(""https://docs.google.com/spreadsheets/d/1"&amp;"b6QssHQp2FoAPSMKHOy273KNzAomaIKhtdlvuZ_zDNE/edit?usp=share_link"",""พัทลุง!J399"")+IMPORTRANGE(""https://docs.google.com/spreadsheets/d/1o7UZe4_OqlqtLDHrj01Z2YFRSZDf1DMy1n3XViHaxRc/edit?usp=share_link"",""ภูเก็ต!J399"")+IMPORTRANGE(""https://docs.google.c"&amp;"om/spreadsheets/d/1ctPm1vUzcUCPuOj9-eoHUD85PqINFqUB0TjdSWmR5-c/edit?usp=share_link"",""ยะลา!J399"")+IMPORTRANGE(""https://docs.google.com/spreadsheets/d/1YiDIE7Klmt8osgdapRqYWNr7iPGFSsiJqq46S7PYRE0/edit?usp=share_link"",""ระนอง!J399"")+IMPORTRANGE(""https"&amp;"://docs.google.com/spreadsheets/d/16o_4B-V7AWw_6E93bSpXj_XxVv1oVQctk-B6z1dNEWU/edit?usp=share_link"",""สงขลา!J399"")+IMPORTRANGE(""https://docs.google.com/spreadsheets/d/16cywr71Fj4fA5OGRHsZh30ZG2gwJhMAQv69oVBzYHv0/edit?usp=share_link"",""สตูล!J399"")+IMP"&amp;"ORTRANGE(""https://docs.google.com/spreadsheets/d/1vO9Sws6kMtrVtyvrAJptINXjK8TFBoX9xLYOVK_C8bQ/edit?usp=share_link"",""สุราษฎร์ธานี!J399"")"),0)</f>
        <v>0</v>
      </c>
      <c r="K399" s="38">
        <f t="shared" ref="K399:K401" ca="1" si="200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customHeight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IFERROR(__xludf.DUMMYFUNCTION("IMPORTRANGE(""https://docs.google.com/spreadsheets/d/1kC41EOXpGBFOW658Fs3oD8beYlym0-zO54WY-2Qnp9I/edit?usp=share_link"",""กระบี่!I400"")
+IMPORTRANGE(""https://docs.google.com/spreadsheets/d/1FbzMZY_f3MDiEuK7RpCQKrilJ_kpX0Wm7QBZ1L7EjIU/edit?usp=share_link"&amp;""",""ชุมพร!I400"")+IMPORTRANGE(""https://docs.google.com/spreadsheets/d/1v5sN-00LrXuhBxw4dkh2GrG_z4l5oAqOdJRBCsUyMaM/edit?usp=share_link"",""ตรัง!I400"")+IMPORTRANGE(""https://docs.google.com/spreadsheets/d/1T5rRTzFc79aSIvqnzkZNvwPstq829QYz_xALlO1Z0s8/edi"&amp;"t?usp=share_link"",""นครศรีธรรมราช!I400"")+IMPORTRANGE(""https://docs.google.com/spreadsheets/d/1BeghqumK0IvCmRd2QOy6_afsZq7ZtAGrSnVJy2u7WmY/edit?usp=share_link"",""นราธิวาส!I400"")+IMPORTRANGE(""https://docs.google.com/spreadsheets/d/1IwnW3-jjRf74MCLW-6P"&amp;"iFwMUffRQXZwZA7YM609NmRc/edit?usp=share_link"",""ปัตตานี!I400"")+IMPORTRANGE(""https://docs.google.com/spreadsheets/d/1vl4QWbWdFruual5o_wdo6ZSqXZ_it806oja4CctTLKs/edit?usp=share_link"",""พังงา!I400"")+IMPORTRANGE(""https://docs.google.com/spreadsheets/d/1"&amp;"b6QssHQp2FoAPSMKHOy273KNzAomaIKhtdlvuZ_zDNE/edit?usp=share_link"",""พัทลุง!I400"")+IMPORTRANGE(""https://docs.google.com/spreadsheets/d/1o7UZe4_OqlqtLDHrj01Z2YFRSZDf1DMy1n3XViHaxRc/edit?usp=share_link"",""ภูเก็ต!I400"")+IMPORTRANGE(""https://docs.google.c"&amp;"om/spreadsheets/d/1ctPm1vUzcUCPuOj9-eoHUD85PqINFqUB0TjdSWmR5-c/edit?usp=share_link"",""ยะลา!I400"")+IMPORTRANGE(""https://docs.google.com/spreadsheets/d/1YiDIE7Klmt8osgdapRqYWNr7iPGFSsiJqq46S7PYRE0/edit?usp=share_link"",""ระนอง!I400"")+IMPORTRANGE(""https"&amp;"://docs.google.com/spreadsheets/d/16o_4B-V7AWw_6E93bSpXj_XxVv1oVQctk-B6z1dNEWU/edit?usp=share_link"",""สงขลา!I400"")+IMPORTRANGE(""https://docs.google.com/spreadsheets/d/16cywr71Fj4fA5OGRHsZh30ZG2gwJhMAQv69oVBzYHv0/edit?usp=share_link"",""สตูล!I400"")+IMP"&amp;"ORTRANGE(""https://docs.google.com/spreadsheets/d/1vO9Sws6kMtrVtyvrAJptINXjK8TFBoX9xLYOVK_C8bQ/edit?usp=share_link"",""สุราษฎร์ธานี!I400"")"),0)</f>
        <v>0</v>
      </c>
      <c r="J400" s="183">
        <f ca="1">IFERROR(__xludf.DUMMYFUNCTION("IMPORTRANGE(""https://docs.google.com/spreadsheets/d/1kC41EOXpGBFOW658Fs3oD8beYlym0-zO54WY-2Qnp9I/edit?usp=share_link"",""กระบี่!J400"")
+IMPORTRANGE(""https://docs.google.com/spreadsheets/d/1FbzMZY_f3MDiEuK7RpCQKrilJ_kpX0Wm7QBZ1L7EjIU/edit?usp=share_link"&amp;""",""ชุมพร!J400"")+IMPORTRANGE(""https://docs.google.com/spreadsheets/d/1v5sN-00LrXuhBxw4dkh2GrG_z4l5oAqOdJRBCsUyMaM/edit?usp=share_link"",""ตรัง!J400"")+IMPORTRANGE(""https://docs.google.com/spreadsheets/d/1T5rRTzFc79aSIvqnzkZNvwPstq829QYz_xALlO1Z0s8/edi"&amp;"t?usp=share_link"",""นครศรีธรรมราช!J400"")+IMPORTRANGE(""https://docs.google.com/spreadsheets/d/1BeghqumK0IvCmRd2QOy6_afsZq7ZtAGrSnVJy2u7WmY/edit?usp=share_link"",""นราธิวาส!J400"")+IMPORTRANGE(""https://docs.google.com/spreadsheets/d/1IwnW3-jjRf74MCLW-6P"&amp;"iFwMUffRQXZwZA7YM609NmRc/edit?usp=share_link"",""ปัตตานี!J400"")+IMPORTRANGE(""https://docs.google.com/spreadsheets/d/1vl4QWbWdFruual5o_wdo6ZSqXZ_it806oja4CctTLKs/edit?usp=share_link"",""พังงา!J400"")+IMPORTRANGE(""https://docs.google.com/spreadsheets/d/1"&amp;"b6QssHQp2FoAPSMKHOy273KNzAomaIKhtdlvuZ_zDNE/edit?usp=share_link"",""พัทลุง!J400"")+IMPORTRANGE(""https://docs.google.com/spreadsheets/d/1o7UZe4_OqlqtLDHrj01Z2YFRSZDf1DMy1n3XViHaxRc/edit?usp=share_link"",""ภูเก็ต!J400"")+IMPORTRANGE(""https://docs.google.c"&amp;"om/spreadsheets/d/1ctPm1vUzcUCPuOj9-eoHUD85PqINFqUB0TjdSWmR5-c/edit?usp=share_link"",""ยะลา!J400"")+IMPORTRANGE(""https://docs.google.com/spreadsheets/d/1YiDIE7Klmt8osgdapRqYWNr7iPGFSsiJqq46S7PYRE0/edit?usp=share_link"",""ระนอง!J400"")+IMPORTRANGE(""https"&amp;"://docs.google.com/spreadsheets/d/16o_4B-V7AWw_6E93bSpXj_XxVv1oVQctk-B6z1dNEWU/edit?usp=share_link"",""สงขลา!J400"")+IMPORTRANGE(""https://docs.google.com/spreadsheets/d/16cywr71Fj4fA5OGRHsZh30ZG2gwJhMAQv69oVBzYHv0/edit?usp=share_link"",""สตูล!J400"")+IMP"&amp;"ORTRANGE(""https://docs.google.com/spreadsheets/d/1vO9Sws6kMtrVtyvrAJptINXjK8TFBoX9xLYOVK_C8bQ/edit?usp=share_link"",""สุราษฎร์ธานี!J400"")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20.25" customHeight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ca="1" si="201">I412</f>
        <v>15</v>
      </c>
      <c r="J401" s="526">
        <f t="shared" ca="1" si="201"/>
        <v>13</v>
      </c>
      <c r="K401" s="527">
        <f t="shared" ca="1" si="200"/>
        <v>86.666666666666671</v>
      </c>
      <c r="L401" s="528"/>
      <c r="M401" s="528"/>
      <c r="N401" s="528"/>
      <c r="O401" s="528"/>
      <c r="P401" s="528"/>
    </row>
    <row r="402" spans="1:26" ht="20.25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34000000</v>
      </c>
      <c r="M402" s="155">
        <f t="shared" ca="1" si="202"/>
        <v>34000000</v>
      </c>
      <c r="N402" s="155">
        <f t="shared" ca="1" si="202"/>
        <v>26478744</v>
      </c>
      <c r="O402" s="155">
        <f t="shared" ref="O402:O410" ca="1" si="203">IF(L402&gt;0,N402*100/L402,0)</f>
        <v>77.878658823529406</v>
      </c>
      <c r="P402" s="155">
        <f t="shared" ref="P402:P410" ca="1" si="204">IF(M402&gt;0,N402*100/M402,0)</f>
        <v>77.878658823529406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34000000</v>
      </c>
      <c r="M404" s="45">
        <f t="shared" ca="1" si="206"/>
        <v>34000000</v>
      </c>
      <c r="N404" s="45">
        <f t="shared" ca="1" si="206"/>
        <v>26478744</v>
      </c>
      <c r="O404" s="45">
        <f t="shared" ca="1" si="203"/>
        <v>77.878658823529406</v>
      </c>
      <c r="P404" s="45">
        <f t="shared" ca="1" si="204"/>
        <v>77.878658823529406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IFERROR(__xludf.DUMMYFUNCTION("IMPORTRANGE(""https://docs.google.com/spreadsheets/d/1kC41EOXpGBFOW658Fs3oD8beYlym0-zO54WY-2Qnp9I/edit?usp=share_link"",""กระบี่!L407"")
+IMPORTRANGE(""https://docs.google.com/spreadsheets/d/1FbzMZY_f3MDiEuK7RpCQKrilJ_kpX0Wm7QBZ1L7EjIU/edit?usp=share_link"&amp;""",""ชุมพร!L407"")+IMPORTRANGE(""https://docs.google.com/spreadsheets/d/1v5sN-00LrXuhBxw4dkh2GrG_z4l5oAqOdJRBCsUyMaM/edit?usp=share_link"",""ตรัง!L407"")+IMPORTRANGE(""https://docs.google.com/spreadsheets/d/1T5rRTzFc79aSIvqnzkZNvwPstq829QYz_xALlO1Z0s8/edi"&amp;"t?usp=share_link"",""นครศรีธรรมราช!L407"")+IMPORTRANGE(""https://docs.google.com/spreadsheets/d/1BeghqumK0IvCmRd2QOy6_afsZq7ZtAGrSnVJy2u7WmY/edit?usp=share_link"",""นราธิวาส!L407"")+IMPORTRANGE(""https://docs.google.com/spreadsheets/d/1IwnW3-jjRf74MCLW-6P"&amp;"iFwMUffRQXZwZA7YM609NmRc/edit?usp=share_link"",""ปัตตานี!L407"")+IMPORTRANGE(""https://docs.google.com/spreadsheets/d/1vl4QWbWdFruual5o_wdo6ZSqXZ_it806oja4CctTLKs/edit?usp=share_link"",""พังงา!L407"")+IMPORTRANGE(""https://docs.google.com/spreadsheets/d/1"&amp;"b6QssHQp2FoAPSMKHOy273KNzAomaIKhtdlvuZ_zDNE/edit?usp=share_link"",""พัทลุง!L407"")+IMPORTRANGE(""https://docs.google.com/spreadsheets/d/1o7UZe4_OqlqtLDHrj01Z2YFRSZDf1DMy1n3XViHaxRc/edit?usp=share_link"",""ภูเก็ต!L407"")+IMPORTRANGE(""https://docs.google.c"&amp;"om/spreadsheets/d/1ctPm1vUzcUCPuOj9-eoHUD85PqINFqUB0TjdSWmR5-c/edit?usp=share_link"",""ยะลา!L407"")+IMPORTRANGE(""https://docs.google.com/spreadsheets/d/1YiDIE7Klmt8osgdapRqYWNr7iPGFSsiJqq46S7PYRE0/edit?usp=share_link"",""ระนอง!L407"")+IMPORTRANGE(""https"&amp;"://docs.google.com/spreadsheets/d/16o_4B-V7AWw_6E93bSpXj_XxVv1oVQctk-B6z1dNEWU/edit?usp=share_link"",""สงขลา!L407"")+IMPORTRANGE(""https://docs.google.com/spreadsheets/d/16cywr71Fj4fA5OGRHsZh30ZG2gwJhMAQv69oVBzYHv0/edit?usp=share_link"",""สตูล!L407"")+IMP"&amp;"ORTRANGE(""https://docs.google.com/spreadsheets/d/1vO9Sws6kMtrVtyvrAJptINXjK8TFBoX9xLYOVK_C8bQ/edit?usp=share_link"",""สุราษฎร์ธานี!L407"")"),0)</f>
        <v>0</v>
      </c>
      <c r="M407" s="45">
        <f ca="1">IFERROR(__xludf.DUMMYFUNCTION("IMPORTRANGE(""https://docs.google.com/spreadsheets/d/1kC41EOXpGBFOW658Fs3oD8beYlym0-zO54WY-2Qnp9I/edit?usp=share_link"",""กระบี่!M407"")
+IMPORTRANGE(""https://docs.google.com/spreadsheets/d/1FbzMZY_f3MDiEuK7RpCQKrilJ_kpX0Wm7QBZ1L7EjIU/edit?usp=share_link"&amp;""",""ชุมพร!M407"")+IMPORTRANGE(""https://docs.google.com/spreadsheets/d/1v5sN-00LrXuhBxw4dkh2GrG_z4l5oAqOdJRBCsUyMaM/edit?usp=share_link"",""ตรัง!M407"")+IMPORTRANGE(""https://docs.google.com/spreadsheets/d/1T5rRTzFc79aSIvqnzkZNvwPstq829QYz_xALlO1Z0s8/edi"&amp;"t?usp=share_link"",""นครศรีธรรมราช!M407"")+IMPORTRANGE(""https://docs.google.com/spreadsheets/d/1BeghqumK0IvCmRd2QOy6_afsZq7ZtAGrSnVJy2u7WmY/edit?usp=share_link"",""นราธิวาส!M407"")+IMPORTRANGE(""https://docs.google.com/spreadsheets/d/1IwnW3-jjRf74MCLW-6P"&amp;"iFwMUffRQXZwZA7YM609NmRc/edit?usp=share_link"",""ปัตตานี!M407"")+IMPORTRANGE(""https://docs.google.com/spreadsheets/d/1vl4QWbWdFruual5o_wdo6ZSqXZ_it806oja4CctTLKs/edit?usp=share_link"",""พังงา!M407"")+IMPORTRANGE(""https://docs.google.com/spreadsheets/d/1"&amp;"b6QssHQp2FoAPSMKHOy273KNzAomaIKhtdlvuZ_zDNE/edit?usp=share_link"",""พัทลุง!M407"")+IMPORTRANGE(""https://docs.google.com/spreadsheets/d/1o7UZe4_OqlqtLDHrj01Z2YFRSZDf1DMy1n3XViHaxRc/edit?usp=share_link"",""ภูเก็ต!M407"")+IMPORTRANGE(""https://docs.google.c"&amp;"om/spreadsheets/d/1ctPm1vUzcUCPuOj9-eoHUD85PqINFqUB0TjdSWmR5-c/edit?usp=share_link"",""ยะลา!M407"")+IMPORTRANGE(""https://docs.google.com/spreadsheets/d/1YiDIE7Klmt8osgdapRqYWNr7iPGFSsiJqq46S7PYRE0/edit?usp=share_link"",""ระนอง!M407"")+IMPORTRANGE(""https"&amp;"://docs.google.com/spreadsheets/d/16o_4B-V7AWw_6E93bSpXj_XxVv1oVQctk-B6z1dNEWU/edit?usp=share_link"",""สงขลา!M407"")+IMPORTRANGE(""https://docs.google.com/spreadsheets/d/16cywr71Fj4fA5OGRHsZh30ZG2gwJhMAQv69oVBzYHv0/edit?usp=share_link"",""สตูล!M407"")+IMP"&amp;"ORTRANGE(""https://docs.google.com/spreadsheets/d/1vO9Sws6kMtrVtyvrAJptINXjK8TFBoX9xLYOVK_C8bQ/edit?usp=share_link"",""สุราษฎร์ธานี!M407"")"),0)</f>
        <v>0</v>
      </c>
      <c r="N407" s="45">
        <f ca="1">IFERROR(__xludf.DUMMYFUNCTION("IMPORTRANGE(""https://docs.google.com/spreadsheets/d/1kC41EOXpGBFOW658Fs3oD8beYlym0-zO54WY-2Qnp9I/edit?usp=share_link"",""กระบี่!N407"")
+IMPORTRANGE(""https://docs.google.com/spreadsheets/d/1FbzMZY_f3MDiEuK7RpCQKrilJ_kpX0Wm7QBZ1L7EjIU/edit?usp=share_link"&amp;""",""ชุมพร!N407"")+IMPORTRANGE(""https://docs.google.com/spreadsheets/d/1v5sN-00LrXuhBxw4dkh2GrG_z4l5oAqOdJRBCsUyMaM/edit?usp=share_link"",""ตรัง!N407"")+IMPORTRANGE(""https://docs.google.com/spreadsheets/d/1T5rRTzFc79aSIvqnzkZNvwPstq829QYz_xALlO1Z0s8/edi"&amp;"t?usp=share_link"",""นครศรีธรรมราช!N407"")+IMPORTRANGE(""https://docs.google.com/spreadsheets/d/1BeghqumK0IvCmRd2QOy6_afsZq7ZtAGrSnVJy2u7WmY/edit?usp=share_link"",""นราธิวาส!N407"")+IMPORTRANGE(""https://docs.google.com/spreadsheets/d/1IwnW3-jjRf74MCLW-6P"&amp;"iFwMUffRQXZwZA7YM609NmRc/edit?usp=share_link"",""ปัตตานี!N407"")+IMPORTRANGE(""https://docs.google.com/spreadsheets/d/1vl4QWbWdFruual5o_wdo6ZSqXZ_it806oja4CctTLKs/edit?usp=share_link"",""พังงา!N407"")+IMPORTRANGE(""https://docs.google.com/spreadsheets/d/1"&amp;"b6QssHQp2FoAPSMKHOy273KNzAomaIKhtdlvuZ_zDNE/edit?usp=share_link"",""พัทลุง!N407"")+IMPORTRANGE(""https://docs.google.com/spreadsheets/d/1o7UZe4_OqlqtLDHrj01Z2YFRSZDf1DMy1n3XViHaxRc/edit?usp=share_link"",""ภูเก็ต!N407"")+IMPORTRANGE(""https://docs.google.c"&amp;"om/spreadsheets/d/1ctPm1vUzcUCPuOj9-eoHUD85PqINFqUB0TjdSWmR5-c/edit?usp=share_link"",""ยะลา!N407"")+IMPORTRANGE(""https://docs.google.com/spreadsheets/d/1YiDIE7Klmt8osgdapRqYWNr7iPGFSsiJqq46S7PYRE0/edit?usp=share_link"",""ระนอง!N407"")+IMPORTRANGE(""https"&amp;"://docs.google.com/spreadsheets/d/16o_4B-V7AWw_6E93bSpXj_XxVv1oVQctk-B6z1dNEWU/edit?usp=share_link"",""สงขลา!N407"")+IMPORTRANGE(""https://docs.google.com/spreadsheets/d/16cywr71Fj4fA5OGRHsZh30ZG2gwJhMAQv69oVBzYHv0/edit?usp=share_link"",""สตูล!N407"")+IMP"&amp;"ORTRANGE(""https://docs.google.com/spreadsheets/d/1vO9Sws6kMtrVtyvrAJptINXjK8TFBoX9xLYOVK_C8bQ/edit?usp=share_link"",""สุราษฎร์ธานี!N407"")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34000000</v>
      </c>
      <c r="M408" s="38">
        <f t="shared" ca="1" si="208"/>
        <v>34000000</v>
      </c>
      <c r="N408" s="38">
        <f t="shared" ca="1" si="208"/>
        <v>26478744</v>
      </c>
      <c r="O408" s="38">
        <f t="shared" ca="1" si="203"/>
        <v>77.878658823529406</v>
      </c>
      <c r="P408" s="38">
        <f t="shared" ca="1" si="204"/>
        <v>77.878658823529406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IFERROR(__xludf.DUMMYFUNCTION("IMPORTRANGE(""https://docs.google.com/spreadsheets/d/1kC41EOXpGBFOW658Fs3oD8beYlym0-zO54WY-2Qnp9I/edit?usp=share_link"",""กระบี่!L410"")
+IMPORTRANGE(""https://docs.google.com/spreadsheets/d/1FbzMZY_f3MDiEuK7RpCQKrilJ_kpX0Wm7QBZ1L7EjIU/edit?usp=share_link"&amp;""",""ชุมพร!L410"")+IMPORTRANGE(""https://docs.google.com/spreadsheets/d/1v5sN-00LrXuhBxw4dkh2GrG_z4l5oAqOdJRBCsUyMaM/edit?usp=share_link"",""ตรัง!L410"")+IMPORTRANGE(""https://docs.google.com/spreadsheets/d/1T5rRTzFc79aSIvqnzkZNvwPstq829QYz_xALlO1Z0s8/edi"&amp;"t?usp=share_link"",""นครศรีธรรมราช!L410"")+IMPORTRANGE(""https://docs.google.com/spreadsheets/d/1BeghqumK0IvCmRd2QOy6_afsZq7ZtAGrSnVJy2u7WmY/edit?usp=share_link"",""นราธิวาส!L410"")+IMPORTRANGE(""https://docs.google.com/spreadsheets/d/1IwnW3-jjRf74MCLW-6P"&amp;"iFwMUffRQXZwZA7YM609NmRc/edit?usp=share_link"",""ปัตตานี!L410"")+IMPORTRANGE(""https://docs.google.com/spreadsheets/d/1vl4QWbWdFruual5o_wdo6ZSqXZ_it806oja4CctTLKs/edit?usp=share_link"",""พังงา!L410"")+IMPORTRANGE(""https://docs.google.com/spreadsheets/d/1"&amp;"b6QssHQp2FoAPSMKHOy273KNzAomaIKhtdlvuZ_zDNE/edit?usp=share_link"",""พัทลุง!L410"")+IMPORTRANGE(""https://docs.google.com/spreadsheets/d/1o7UZe4_OqlqtLDHrj01Z2YFRSZDf1DMy1n3XViHaxRc/edit?usp=share_link"",""ภูเก็ต!L410"")+IMPORTRANGE(""https://docs.google.c"&amp;"om/spreadsheets/d/1ctPm1vUzcUCPuOj9-eoHUD85PqINFqUB0TjdSWmR5-c/edit?usp=share_link"",""ยะลา!L410"")+IMPORTRANGE(""https://docs.google.com/spreadsheets/d/1YiDIE7Klmt8osgdapRqYWNr7iPGFSsiJqq46S7PYRE0/edit?usp=share_link"",""ระนอง!L410"")+IMPORTRANGE(""https"&amp;"://docs.google.com/spreadsheets/d/16o_4B-V7AWw_6E93bSpXj_XxVv1oVQctk-B6z1dNEWU/edit?usp=share_link"",""สงขลา!L410"")+IMPORTRANGE(""https://docs.google.com/spreadsheets/d/16cywr71Fj4fA5OGRHsZh30ZG2gwJhMAQv69oVBzYHv0/edit?usp=share_link"",""สตูล!L410"")+IMP"&amp;"ORTRANGE(""https://docs.google.com/spreadsheets/d/1vO9Sws6kMtrVtyvrAJptINXjK8TFBoX9xLYOVK_C8bQ/edit?usp=share_link"",""สุราษฎร์ธานี!L410"")"),34000000)</f>
        <v>34000000</v>
      </c>
      <c r="M410" s="45">
        <f ca="1">IFERROR(__xludf.DUMMYFUNCTION("IMPORTRANGE(""https://docs.google.com/spreadsheets/d/1kC41EOXpGBFOW658Fs3oD8beYlym0-zO54WY-2Qnp9I/edit?usp=share_link"",""กระบี่!M410"")
+IMPORTRANGE(""https://docs.google.com/spreadsheets/d/1FbzMZY_f3MDiEuK7RpCQKrilJ_kpX0Wm7QBZ1L7EjIU/edit?usp=share_link"&amp;""",""ชุมพร!M410"")+IMPORTRANGE(""https://docs.google.com/spreadsheets/d/1v5sN-00LrXuhBxw4dkh2GrG_z4l5oAqOdJRBCsUyMaM/edit?usp=share_link"",""ตรัง!M410"")+IMPORTRANGE(""https://docs.google.com/spreadsheets/d/1T5rRTzFc79aSIvqnzkZNvwPstq829QYz_xALlO1Z0s8/edi"&amp;"t?usp=share_link"",""นครศรีธรรมราช!M410"")+IMPORTRANGE(""https://docs.google.com/spreadsheets/d/1BeghqumK0IvCmRd2QOy6_afsZq7ZtAGrSnVJy2u7WmY/edit?usp=share_link"",""นราธิวาส!M410"")+IMPORTRANGE(""https://docs.google.com/spreadsheets/d/1IwnW3-jjRf74MCLW-6P"&amp;"iFwMUffRQXZwZA7YM609NmRc/edit?usp=share_link"",""ปัตตานี!M410"")+IMPORTRANGE(""https://docs.google.com/spreadsheets/d/1vl4QWbWdFruual5o_wdo6ZSqXZ_it806oja4CctTLKs/edit?usp=share_link"",""พังงา!M410"")+IMPORTRANGE(""https://docs.google.com/spreadsheets/d/1"&amp;"b6QssHQp2FoAPSMKHOy273KNzAomaIKhtdlvuZ_zDNE/edit?usp=share_link"",""พัทลุง!M410"")+IMPORTRANGE(""https://docs.google.com/spreadsheets/d/1o7UZe4_OqlqtLDHrj01Z2YFRSZDf1DMy1n3XViHaxRc/edit?usp=share_link"",""ภูเก็ต!M410"")+IMPORTRANGE(""https://docs.google.c"&amp;"om/spreadsheets/d/1ctPm1vUzcUCPuOj9-eoHUD85PqINFqUB0TjdSWmR5-c/edit?usp=share_link"",""ยะลา!M410"")+IMPORTRANGE(""https://docs.google.com/spreadsheets/d/1YiDIE7Klmt8osgdapRqYWNr7iPGFSsiJqq46S7PYRE0/edit?usp=share_link"",""ระนอง!M410"")+IMPORTRANGE(""https"&amp;"://docs.google.com/spreadsheets/d/16o_4B-V7AWw_6E93bSpXj_XxVv1oVQctk-B6z1dNEWU/edit?usp=share_link"",""สงขลา!M410"")+IMPORTRANGE(""https://docs.google.com/spreadsheets/d/16cywr71Fj4fA5OGRHsZh30ZG2gwJhMAQv69oVBzYHv0/edit?usp=share_link"",""สตูล!M410"")+IMP"&amp;"ORTRANGE(""https://docs.google.com/spreadsheets/d/1vO9Sws6kMtrVtyvrAJptINXjK8TFBoX9xLYOVK_C8bQ/edit?usp=share_link"",""สุราษฎร์ธานี!M410"")"),34000000)</f>
        <v>34000000</v>
      </c>
      <c r="N410" s="45">
        <f ca="1">IFERROR(__xludf.DUMMYFUNCTION("IMPORTRANGE(""https://docs.google.com/spreadsheets/d/1kC41EOXpGBFOW658Fs3oD8beYlym0-zO54WY-2Qnp9I/edit?usp=share_link"",""กระบี่!N410"")
+IMPORTRANGE(""https://docs.google.com/spreadsheets/d/1FbzMZY_f3MDiEuK7RpCQKrilJ_kpX0Wm7QBZ1L7EjIU/edit?usp=share_link"&amp;""",""ชุมพร!N410"")+IMPORTRANGE(""https://docs.google.com/spreadsheets/d/1v5sN-00LrXuhBxw4dkh2GrG_z4l5oAqOdJRBCsUyMaM/edit?usp=share_link"",""ตรัง!N410"")+IMPORTRANGE(""https://docs.google.com/spreadsheets/d/1T5rRTzFc79aSIvqnzkZNvwPstq829QYz_xALlO1Z0s8/edi"&amp;"t?usp=share_link"",""นครศรีธรรมราช!N410"")+IMPORTRANGE(""https://docs.google.com/spreadsheets/d/1BeghqumK0IvCmRd2QOy6_afsZq7ZtAGrSnVJy2u7WmY/edit?usp=share_link"",""นราธิวาส!N410"")+IMPORTRANGE(""https://docs.google.com/spreadsheets/d/1IwnW3-jjRf74MCLW-6P"&amp;"iFwMUffRQXZwZA7YM609NmRc/edit?usp=share_link"",""ปัตตานี!N410"")+IMPORTRANGE(""https://docs.google.com/spreadsheets/d/1vl4QWbWdFruual5o_wdo6ZSqXZ_it806oja4CctTLKs/edit?usp=share_link"",""พังงา!N410"")+IMPORTRANGE(""https://docs.google.com/spreadsheets/d/1"&amp;"b6QssHQp2FoAPSMKHOy273KNzAomaIKhtdlvuZ_zDNE/edit?usp=share_link"",""พัทลุง!N410"")+IMPORTRANGE(""https://docs.google.com/spreadsheets/d/1o7UZe4_OqlqtLDHrj01Z2YFRSZDf1DMy1n3XViHaxRc/edit?usp=share_link"",""ภูเก็ต!N410"")+IMPORTRANGE(""https://docs.google.c"&amp;"om/spreadsheets/d/1ctPm1vUzcUCPuOj9-eoHUD85PqINFqUB0TjdSWmR5-c/edit?usp=share_link"",""ยะลา!N410"")+IMPORTRANGE(""https://docs.google.com/spreadsheets/d/1YiDIE7Klmt8osgdapRqYWNr7iPGFSsiJqq46S7PYRE0/edit?usp=share_link"",""ระนอง!N410"")+IMPORTRANGE(""https"&amp;"://docs.google.com/spreadsheets/d/16o_4B-V7AWw_6E93bSpXj_XxVv1oVQctk-B6z1dNEWU/edit?usp=share_link"",""สงขลา!N410"")+IMPORTRANGE(""https://docs.google.com/spreadsheets/d/16cywr71Fj4fA5OGRHsZh30ZG2gwJhMAQv69oVBzYHv0/edit?usp=share_link"",""สตูล!N410"")+IMP"&amp;"ORTRANGE(""https://docs.google.com/spreadsheets/d/1vO9Sws6kMtrVtyvrAJptINXjK8TFBoX9xLYOVK_C8bQ/edit?usp=share_link"",""สุราษฎร์ธานี!N410"")"),26478744)</f>
        <v>26478744</v>
      </c>
      <c r="O410" s="45">
        <f t="shared" ca="1" si="203"/>
        <v>77.878658823529406</v>
      </c>
      <c r="P410" s="45">
        <f t="shared" ca="1" si="204"/>
        <v>77.878658823529406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customHeight="1">
      <c r="A411" s="170"/>
      <c r="B411" s="171"/>
      <c r="C411" s="164" t="s">
        <v>16</v>
      </c>
      <c r="D411" s="534" t="s">
        <v>38</v>
      </c>
      <c r="E411" s="535"/>
      <c r="F411" s="535"/>
      <c r="G411" s="536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customHeight="1">
      <c r="A412" s="170"/>
      <c r="B412" s="178"/>
      <c r="C412" s="178"/>
      <c r="D412" s="181" t="s">
        <v>178</v>
      </c>
      <c r="E412" s="178"/>
      <c r="F412" s="178"/>
      <c r="G412" s="179"/>
      <c r="H412" s="537" t="s">
        <v>66</v>
      </c>
      <c r="I412" s="270">
        <f ca="1">IFERROR(__xludf.DUMMYFUNCTION("IMPORTRANGE(""https://docs.google.com/spreadsheets/d/1kC41EOXpGBFOW658Fs3oD8beYlym0-zO54WY-2Qnp9I/edit?usp=share_link"",""กระบี่!I412"")
+IMPORTRANGE(""https://docs.google.com/spreadsheets/d/1FbzMZY_f3MDiEuK7RpCQKrilJ_kpX0Wm7QBZ1L7EjIU/edit?usp=share_link"&amp;""",""ชุมพร!I412"")+IMPORTRANGE(""https://docs.google.com/spreadsheets/d/1v5sN-00LrXuhBxw4dkh2GrG_z4l5oAqOdJRBCsUyMaM/edit?usp=share_link"",""ตรัง!I412"")+IMPORTRANGE(""https://docs.google.com/spreadsheets/d/1T5rRTzFc79aSIvqnzkZNvwPstq829QYz_xALlO1Z0s8/edi"&amp;"t?usp=share_link"",""นครศรีธรรมราช!I412"")+IMPORTRANGE(""https://docs.google.com/spreadsheets/d/1BeghqumK0IvCmRd2QOy6_afsZq7ZtAGrSnVJy2u7WmY/edit?usp=share_link"",""นราธิวาส!I412"")+IMPORTRANGE(""https://docs.google.com/spreadsheets/d/1IwnW3-jjRf74MCLW-6P"&amp;"iFwMUffRQXZwZA7YM609NmRc/edit?usp=share_link"",""ปัตตานี!I412"")+IMPORTRANGE(""https://docs.google.com/spreadsheets/d/1vl4QWbWdFruual5o_wdo6ZSqXZ_it806oja4CctTLKs/edit?usp=share_link"",""พังงา!I412"")+IMPORTRANGE(""https://docs.google.com/spreadsheets/d/1"&amp;"b6QssHQp2FoAPSMKHOy273KNzAomaIKhtdlvuZ_zDNE/edit?usp=share_link"",""พัทลุง!I412"")+IMPORTRANGE(""https://docs.google.com/spreadsheets/d/1o7UZe4_OqlqtLDHrj01Z2YFRSZDf1DMy1n3XViHaxRc/edit?usp=share_link"",""ภูเก็ต!I412"")+IMPORTRANGE(""https://docs.google.c"&amp;"om/spreadsheets/d/1ctPm1vUzcUCPuOj9-eoHUD85PqINFqUB0TjdSWmR5-c/edit?usp=share_link"",""ยะลา!I412"")+IMPORTRANGE(""https://docs.google.com/spreadsheets/d/1YiDIE7Klmt8osgdapRqYWNr7iPGFSsiJqq46S7PYRE0/edit?usp=share_link"",""ระนอง!I412"")+IMPORTRANGE(""https"&amp;"://docs.google.com/spreadsheets/d/16o_4B-V7AWw_6E93bSpXj_XxVv1oVQctk-B6z1dNEWU/edit?usp=share_link"",""สงขลา!I412"")+IMPORTRANGE(""https://docs.google.com/spreadsheets/d/16cywr71Fj4fA5OGRHsZh30ZG2gwJhMAQv69oVBzYHv0/edit?usp=share_link"",""สตูล!I412"")+IMP"&amp;"ORTRANGE(""https://docs.google.com/spreadsheets/d/1vO9Sws6kMtrVtyvrAJptINXjK8TFBoX9xLYOVK_C8bQ/edit?usp=share_link"",""สุราษฎร์ธานี!I412"")"),15)</f>
        <v>15</v>
      </c>
      <c r="J412" s="183">
        <f ca="1">IFERROR(__xludf.DUMMYFUNCTION("IMPORTRANGE(""https://docs.google.com/spreadsheets/d/1kC41EOXpGBFOW658Fs3oD8beYlym0-zO54WY-2Qnp9I/edit?usp=share_link"",""กระบี่!J412"")
+IMPORTRANGE(""https://docs.google.com/spreadsheets/d/1FbzMZY_f3MDiEuK7RpCQKrilJ_kpX0Wm7QBZ1L7EjIU/edit?usp=share_link"&amp;""",""ชุมพร!J412"")+IMPORTRANGE(""https://docs.google.com/spreadsheets/d/1v5sN-00LrXuhBxw4dkh2GrG_z4l5oAqOdJRBCsUyMaM/edit?usp=share_link"",""ตรัง!J412"")+IMPORTRANGE(""https://docs.google.com/spreadsheets/d/1T5rRTzFc79aSIvqnzkZNvwPstq829QYz_xALlO1Z0s8/edi"&amp;"t?usp=share_link"",""นครศรีธรรมราช!J412"")+IMPORTRANGE(""https://docs.google.com/spreadsheets/d/1BeghqumK0IvCmRd2QOy6_afsZq7ZtAGrSnVJy2u7WmY/edit?usp=share_link"",""นราธิวาส!J412"")+IMPORTRANGE(""https://docs.google.com/spreadsheets/d/1IwnW3-jjRf74MCLW-6P"&amp;"iFwMUffRQXZwZA7YM609NmRc/edit?usp=share_link"",""ปัตตานี!J412"")+IMPORTRANGE(""https://docs.google.com/spreadsheets/d/1vl4QWbWdFruual5o_wdo6ZSqXZ_it806oja4CctTLKs/edit?usp=share_link"",""พังงา!J412"")+IMPORTRANGE(""https://docs.google.com/spreadsheets/d/1"&amp;"b6QssHQp2FoAPSMKHOy273KNzAomaIKhtdlvuZ_zDNE/edit?usp=share_link"",""พัทลุง!J412"")+IMPORTRANGE(""https://docs.google.com/spreadsheets/d/1o7UZe4_OqlqtLDHrj01Z2YFRSZDf1DMy1n3XViHaxRc/edit?usp=share_link"",""ภูเก็ต!J412"")+IMPORTRANGE(""https://docs.google.c"&amp;"om/spreadsheets/d/1ctPm1vUzcUCPuOj9-eoHUD85PqINFqUB0TjdSWmR5-c/edit?usp=share_link"",""ยะลา!J412"")+IMPORTRANGE(""https://docs.google.com/spreadsheets/d/1YiDIE7Klmt8osgdapRqYWNr7iPGFSsiJqq46S7PYRE0/edit?usp=share_link"",""ระนอง!J412"")+IMPORTRANGE(""https"&amp;"://docs.google.com/spreadsheets/d/16o_4B-V7AWw_6E93bSpXj_XxVv1oVQctk-B6z1dNEWU/edit?usp=share_link"",""สงขลา!J412"")+IMPORTRANGE(""https://docs.google.com/spreadsheets/d/16cywr71Fj4fA5OGRHsZh30ZG2gwJhMAQv69oVBzYHv0/edit?usp=share_link"",""สตูล!J412"")+IMP"&amp;"ORTRANGE(""https://docs.google.com/spreadsheets/d/1vO9Sws6kMtrVtyvrAJptINXjK8TFBoX9xLYOVK_C8bQ/edit?usp=share_link"",""สุราษฎร์ธานี!J412"")"),13)</f>
        <v>13</v>
      </c>
      <c r="K412" s="38">
        <f t="shared" ref="K412:K413" ca="1" si="209">IF(I412&gt;0,J412*100/I412,0)</f>
        <v>86.666666666666671</v>
      </c>
      <c r="L412" s="163"/>
      <c r="M412" s="163"/>
      <c r="N412" s="163"/>
      <c r="O412" s="163"/>
      <c r="P412" s="163"/>
    </row>
    <row r="413" spans="1:26" ht="20.25" customHeigh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f ca="1">IFERROR(__xludf.DUMMYFUNCTION("IMPORTRANGE(""https://docs.google.com/spreadsheets/d/1kC41EOXpGBFOW658Fs3oD8beYlym0-zO54WY-2Qnp9I/edit?usp=share_link"",""กระบี่!I413"")
+IMPORTRANGE(""https://docs.google.com/spreadsheets/d/1FbzMZY_f3MDiEuK7RpCQKrilJ_kpX0Wm7QBZ1L7EjIU/edit?usp=share_link"&amp;""",""ชุมพร!I413"")+IMPORTRANGE(""https://docs.google.com/spreadsheets/d/1v5sN-00LrXuhBxw4dkh2GrG_z4l5oAqOdJRBCsUyMaM/edit?usp=share_link"",""ตรัง!I413"")+IMPORTRANGE(""https://docs.google.com/spreadsheets/d/1T5rRTzFc79aSIvqnzkZNvwPstq829QYz_xALlO1Z0s8/edi"&amp;"t?usp=share_link"",""นครศรีธรรมราช!I413"")+IMPORTRANGE(""https://docs.google.com/spreadsheets/d/1BeghqumK0IvCmRd2QOy6_afsZq7ZtAGrSnVJy2u7WmY/edit?usp=share_link"",""นราธิวาส!I413"")+IMPORTRANGE(""https://docs.google.com/spreadsheets/d/1IwnW3-jjRf74MCLW-6P"&amp;"iFwMUffRQXZwZA7YM609NmRc/edit?usp=share_link"",""ปัตตานี!I413"")+IMPORTRANGE(""https://docs.google.com/spreadsheets/d/1vl4QWbWdFruual5o_wdo6ZSqXZ_it806oja4CctTLKs/edit?usp=share_link"",""พังงา!I413"")+IMPORTRANGE(""https://docs.google.com/spreadsheets/d/1"&amp;"b6QssHQp2FoAPSMKHOy273KNzAomaIKhtdlvuZ_zDNE/edit?usp=share_link"",""พัทลุง!I413"")+IMPORTRANGE(""https://docs.google.com/spreadsheets/d/1o7UZe4_OqlqtLDHrj01Z2YFRSZDf1DMy1n3XViHaxRc/edit?usp=share_link"",""ภูเก็ต!I413"")+IMPORTRANGE(""https://docs.google.c"&amp;"om/spreadsheets/d/1ctPm1vUzcUCPuOj9-eoHUD85PqINFqUB0TjdSWmR5-c/edit?usp=share_link"",""ยะลา!I413"")+IMPORTRANGE(""https://docs.google.com/spreadsheets/d/1YiDIE7Klmt8osgdapRqYWNr7iPGFSsiJqq46S7PYRE0/edit?usp=share_link"",""ระนอง!I413"")+IMPORTRANGE(""https"&amp;"://docs.google.com/spreadsheets/d/16o_4B-V7AWw_6E93bSpXj_XxVv1oVQctk-B6z1dNEWU/edit?usp=share_link"",""สงขลา!I413"")+IMPORTRANGE(""https://docs.google.com/spreadsheets/d/16cywr71Fj4fA5OGRHsZh30ZG2gwJhMAQv69oVBzYHv0/edit?usp=share_link"",""สตูล!I413"")+IMP"&amp;"ORTRANGE(""https://docs.google.com/spreadsheets/d/1vO9Sws6kMtrVtyvrAJptINXjK8TFBoX9xLYOVK_C8bQ/edit?usp=share_link"",""สุราษฎร์ธานี!I413"")"),795800)</f>
        <v>795800</v>
      </c>
      <c r="J413" s="544">
        <f ca="1">IFERROR(__xludf.DUMMYFUNCTION("IMPORTRANGE(""https://docs.google.com/spreadsheets/d/1kC41EOXpGBFOW658Fs3oD8beYlym0-zO54WY-2Qnp9I/edit?usp=share_link"",""กระบี่!J413"")
+IMPORTRANGE(""https://docs.google.com/spreadsheets/d/1FbzMZY_f3MDiEuK7RpCQKrilJ_kpX0Wm7QBZ1L7EjIU/edit?usp=share_link"&amp;""",""ชุมพร!J413"")+IMPORTRANGE(""https://docs.google.com/spreadsheets/d/1v5sN-00LrXuhBxw4dkh2GrG_z4l5oAqOdJRBCsUyMaM/edit?usp=share_link"",""ตรัง!J413"")+IMPORTRANGE(""https://docs.google.com/spreadsheets/d/1T5rRTzFc79aSIvqnzkZNvwPstq829QYz_xALlO1Z0s8/edi"&amp;"t?usp=share_link"",""นครศรีธรรมราช!J413"")+IMPORTRANGE(""https://docs.google.com/spreadsheets/d/1BeghqumK0IvCmRd2QOy6_afsZq7ZtAGrSnVJy2u7WmY/edit?usp=share_link"",""นราธิวาส!J413"")+IMPORTRANGE(""https://docs.google.com/spreadsheets/d/1IwnW3-jjRf74MCLW-6P"&amp;"iFwMUffRQXZwZA7YM609NmRc/edit?usp=share_link"",""ปัตตานี!J413"")+IMPORTRANGE(""https://docs.google.com/spreadsheets/d/1vl4QWbWdFruual5o_wdo6ZSqXZ_it806oja4CctTLKs/edit?usp=share_link"",""พังงา!J413"")+IMPORTRANGE(""https://docs.google.com/spreadsheets/d/1"&amp;"b6QssHQp2FoAPSMKHOy273KNzAomaIKhtdlvuZ_zDNE/edit?usp=share_link"",""พัทลุง!J413"")+IMPORTRANGE(""https://docs.google.com/spreadsheets/d/1o7UZe4_OqlqtLDHrj01Z2YFRSZDf1DMy1n3XViHaxRc/edit?usp=share_link"",""ภูเก็ต!J413"")+IMPORTRANGE(""https://docs.google.c"&amp;"om/spreadsheets/d/1ctPm1vUzcUCPuOj9-eoHUD85PqINFqUB0TjdSWmR5-c/edit?usp=share_link"",""ยะลา!J413"")+IMPORTRANGE(""https://docs.google.com/spreadsheets/d/1YiDIE7Klmt8osgdapRqYWNr7iPGFSsiJqq46S7PYRE0/edit?usp=share_link"",""ระนอง!J413"")+IMPORTRANGE(""https"&amp;"://docs.google.com/spreadsheets/d/16o_4B-V7AWw_6E93bSpXj_XxVv1oVQctk-B6z1dNEWU/edit?usp=share_link"",""สงขลา!J413"")+IMPORTRANGE(""https://docs.google.com/spreadsheets/d/16cywr71Fj4fA5OGRHsZh30ZG2gwJhMAQv69oVBzYHv0/edit?usp=share_link"",""สตูล!J413"")+IMP"&amp;"ORTRANGE(""https://docs.google.com/spreadsheets/d/1vO9Sws6kMtrVtyvrAJptINXjK8TFBoX9xLYOVK_C8bQ/edit?usp=share_link"",""สุราษฎร์ธานี!J413"")"),660431)</f>
        <v>660431</v>
      </c>
      <c r="K413" s="545">
        <f t="shared" ca="1" si="209"/>
        <v>82.989570243779838</v>
      </c>
      <c r="L413" s="546"/>
      <c r="M413" s="546"/>
      <c r="N413" s="546"/>
      <c r="O413" s="546"/>
      <c r="P413" s="546"/>
    </row>
    <row r="414" spans="1:26" ht="20.25" customHeight="1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210">L419+L444+L467+L502+L523+L544+L629+L655+L685+L737+L754+L770+L786+L805</f>
        <v>16089310</v>
      </c>
      <c r="M414" s="553">
        <f t="shared" ca="1" si="210"/>
        <v>16483395</v>
      </c>
      <c r="N414" s="553">
        <f t="shared" ca="1" si="210"/>
        <v>11318373.51999999</v>
      </c>
      <c r="O414" s="553">
        <f ca="1">IF(L414&gt;0,N414*100/L414,0)</f>
        <v>70.347165416043268</v>
      </c>
      <c r="P414" s="553">
        <f ca="1">IF(M414&gt;0,N414*100/M414,0)</f>
        <v>68.665305417967545</v>
      </c>
    </row>
    <row r="415" spans="1:26" ht="20.25" customHeight="1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20.25" customHeight="1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20.25" customHeight="1">
      <c r="A417" s="563">
        <v>1</v>
      </c>
      <c r="B417" s="564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7" ca="1" si="211">I433</f>
        <v>250</v>
      </c>
      <c r="J417" s="569">
        <f t="shared" ca="1" si="211"/>
        <v>250</v>
      </c>
      <c r="K417" s="570">
        <f t="shared" ref="K417:K418" ca="1" si="212">IF(I417&gt;0,J417*100/I417,0)</f>
        <v>100</v>
      </c>
      <c r="L417" s="571"/>
      <c r="M417" s="571"/>
      <c r="N417" s="571"/>
      <c r="O417" s="571"/>
      <c r="P417" s="571"/>
    </row>
    <row r="418" spans="1:26" ht="20.25" customHeight="1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ref="I418:J418" ca="1" si="213">I434</f>
        <v>15</v>
      </c>
      <c r="J418" s="569">
        <f t="shared" ca="1" si="213"/>
        <v>14</v>
      </c>
      <c r="K418" s="570">
        <f t="shared" ca="1" si="212"/>
        <v>93.333333333333329</v>
      </c>
      <c r="L418" s="571"/>
      <c r="M418" s="571"/>
      <c r="N418" s="571"/>
      <c r="O418" s="571"/>
      <c r="P418" s="571"/>
    </row>
    <row r="419" spans="1:26" ht="20.25" customHeight="1">
      <c r="A419" s="147"/>
      <c r="B419" s="148"/>
      <c r="C419" s="148" t="s">
        <v>16</v>
      </c>
      <c r="D419" s="846" t="s">
        <v>17</v>
      </c>
      <c r="E419" s="847"/>
      <c r="F419" s="847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1097120</v>
      </c>
      <c r="M419" s="155">
        <f t="shared" ca="1" si="214"/>
        <v>1091510</v>
      </c>
      <c r="N419" s="155">
        <f t="shared" ca="1" si="214"/>
        <v>911027.15</v>
      </c>
      <c r="O419" s="155">
        <f t="shared" ref="O419:O424" ca="1" si="215">IF(L419&gt;0,N419*100/L419,0)</f>
        <v>83.038058735598653</v>
      </c>
      <c r="P419" s="155">
        <f t="shared" ref="P419:P424" ca="1" si="216">IF(M419&gt;0,N419*100/M419,0)</f>
        <v>83.464846863519341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1097120</v>
      </c>
      <c r="M421" s="45">
        <f t="shared" ca="1" si="218"/>
        <v>1091510</v>
      </c>
      <c r="N421" s="45">
        <f t="shared" ca="1" si="218"/>
        <v>911027.15</v>
      </c>
      <c r="O421" s="45">
        <f t="shared" ca="1" si="215"/>
        <v>83.038058735598653</v>
      </c>
      <c r="P421" s="45">
        <f t="shared" ca="1" si="216"/>
        <v>83.464846863519341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1097120</v>
      </c>
      <c r="M422" s="38">
        <f t="shared" ca="1" si="219"/>
        <v>1091510</v>
      </c>
      <c r="N422" s="38">
        <f t="shared" ca="1" si="219"/>
        <v>911027.15</v>
      </c>
      <c r="O422" s="38">
        <f t="shared" ca="1" si="215"/>
        <v>83.038058735598653</v>
      </c>
      <c r="P422" s="38">
        <f t="shared" ca="1" si="216"/>
        <v>83.464846863519341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IFERROR(__xludf.DUMMYFUNCTION("IMPORTRANGE(""https://docs.google.com/spreadsheets/d/1kC41EOXpGBFOW658Fs3oD8beYlym0-zO54WY-2Qnp9I/edit?usp=share_link"",""กระบี่!L424"")
+IMPORTRANGE(""https://docs.google.com/spreadsheets/d/1FbzMZY_f3MDiEuK7RpCQKrilJ_kpX0Wm7QBZ1L7EjIU/edit?usp=share_link"&amp;""",""ชุมพร!L424"")+IMPORTRANGE(""https://docs.google.com/spreadsheets/d/1v5sN-00LrXuhBxw4dkh2GrG_z4l5oAqOdJRBCsUyMaM/edit?usp=share_link"",""ตรัง!L424"")+IMPORTRANGE(""https://docs.google.com/spreadsheets/d/1T5rRTzFc79aSIvqnzkZNvwPstq829QYz_xALlO1Z0s8/edi"&amp;"t?usp=share_link"",""นครศรีธรรมราช!L424"")+IMPORTRANGE(""https://docs.google.com/spreadsheets/d/1BeghqumK0IvCmRd2QOy6_afsZq7ZtAGrSnVJy2u7WmY/edit?usp=share_link"",""นราธิวาส!L424"")+IMPORTRANGE(""https://docs.google.com/spreadsheets/d/1IwnW3-jjRf74MCLW-6P"&amp;"iFwMUffRQXZwZA7YM609NmRc/edit?usp=share_link"",""ปัตตานี!L424"")+IMPORTRANGE(""https://docs.google.com/spreadsheets/d/1vl4QWbWdFruual5o_wdo6ZSqXZ_it806oja4CctTLKs/edit?usp=share_link"",""พังงา!L424"")+IMPORTRANGE(""https://docs.google.com/spreadsheets/d/1"&amp;"b6QssHQp2FoAPSMKHOy273KNzAomaIKhtdlvuZ_zDNE/edit?usp=share_link"",""พัทลุง!L424"")+IMPORTRANGE(""https://docs.google.com/spreadsheets/d/1o7UZe4_OqlqtLDHrj01Z2YFRSZDf1DMy1n3XViHaxRc/edit?usp=share_link"",""ภูเก็ต!L424"")+IMPORTRANGE(""https://docs.google.c"&amp;"om/spreadsheets/d/1ctPm1vUzcUCPuOj9-eoHUD85PqINFqUB0TjdSWmR5-c/edit?usp=share_link"",""ยะลา!L424"")+IMPORTRANGE(""https://docs.google.com/spreadsheets/d/1YiDIE7Klmt8osgdapRqYWNr7iPGFSsiJqq46S7PYRE0/edit?usp=share_link"",""ระนอง!L424"")+IMPORTRANGE(""https"&amp;"://docs.google.com/spreadsheets/d/16o_4B-V7AWw_6E93bSpXj_XxVv1oVQctk-B6z1dNEWU/edit?usp=share_link"",""สงขลา!L424"")+IMPORTRANGE(""https://docs.google.com/spreadsheets/d/16cywr71Fj4fA5OGRHsZh30ZG2gwJhMAQv69oVBzYHv0/edit?usp=share_link"",""สตูล!L424"")+IMP"&amp;"ORTRANGE(""https://docs.google.com/spreadsheets/d/1vO9Sws6kMtrVtyvrAJptINXjK8TFBoX9xLYOVK_C8bQ/edit?usp=share_link"",""สุราษฎร์ธานี!L424"")"),1097120)</f>
        <v>1097120</v>
      </c>
      <c r="M424" s="93">
        <f ca="1">IFERROR(__xludf.DUMMYFUNCTION("IMPORTRANGE(""https://docs.google.com/spreadsheets/d/1kC41EOXpGBFOW658Fs3oD8beYlym0-zO54WY-2Qnp9I/edit?usp=share_link"",""กระบี่!M424"")
+IMPORTRANGE(""https://docs.google.com/spreadsheets/d/1FbzMZY_f3MDiEuK7RpCQKrilJ_kpX0Wm7QBZ1L7EjIU/edit?usp=share_link"&amp;""",""ชุมพร!M424"")+IMPORTRANGE(""https://docs.google.com/spreadsheets/d/1v5sN-00LrXuhBxw4dkh2GrG_z4l5oAqOdJRBCsUyMaM/edit?usp=share_link"",""ตรัง!M424"")+IMPORTRANGE(""https://docs.google.com/spreadsheets/d/1T5rRTzFc79aSIvqnzkZNvwPstq829QYz_xALlO1Z0s8/edi"&amp;"t?usp=share_link"",""นครศรีธรรมราช!M424"")+IMPORTRANGE(""https://docs.google.com/spreadsheets/d/1BeghqumK0IvCmRd2QOy6_afsZq7ZtAGrSnVJy2u7WmY/edit?usp=share_link"",""นราธิวาส!M424"")+IMPORTRANGE(""https://docs.google.com/spreadsheets/d/1IwnW3-jjRf74MCLW-6P"&amp;"iFwMUffRQXZwZA7YM609NmRc/edit?usp=share_link"",""ปัตตานี!M424"")+IMPORTRANGE(""https://docs.google.com/spreadsheets/d/1vl4QWbWdFruual5o_wdo6ZSqXZ_it806oja4CctTLKs/edit?usp=share_link"",""พังงา!M424"")+IMPORTRANGE(""https://docs.google.com/spreadsheets/d/1"&amp;"b6QssHQp2FoAPSMKHOy273KNzAomaIKhtdlvuZ_zDNE/edit?usp=share_link"",""พัทลุง!M424"")+IMPORTRANGE(""https://docs.google.com/spreadsheets/d/1o7UZe4_OqlqtLDHrj01Z2YFRSZDf1DMy1n3XViHaxRc/edit?usp=share_link"",""ภูเก็ต!M424"")+IMPORTRANGE(""https://docs.google.c"&amp;"om/spreadsheets/d/1ctPm1vUzcUCPuOj9-eoHUD85PqINFqUB0TjdSWmR5-c/edit?usp=share_link"",""ยะลา!M424"")+IMPORTRANGE(""https://docs.google.com/spreadsheets/d/1YiDIE7Klmt8osgdapRqYWNr7iPGFSsiJqq46S7PYRE0/edit?usp=share_link"",""ระนอง!M424"")+IMPORTRANGE(""https"&amp;"://docs.google.com/spreadsheets/d/16o_4B-V7AWw_6E93bSpXj_XxVv1oVQctk-B6z1dNEWU/edit?usp=share_link"",""สงขลา!M424"")+IMPORTRANGE(""https://docs.google.com/spreadsheets/d/16cywr71Fj4fA5OGRHsZh30ZG2gwJhMAQv69oVBzYHv0/edit?usp=share_link"",""สตูล!M424"")+IMP"&amp;"ORTRANGE(""https://docs.google.com/spreadsheets/d/1vO9Sws6kMtrVtyvrAJptINXjK8TFBoX9xLYOVK_C8bQ/edit?usp=share_link"",""สุราษฎร์ธานี!M424"")"),1091510)</f>
        <v>1091510</v>
      </c>
      <c r="N424" s="45">
        <f ca="1">N425+N426+N427+N428</f>
        <v>911027.15</v>
      </c>
      <c r="O424" s="45">
        <f t="shared" ca="1" si="215"/>
        <v>83.038058735598653</v>
      </c>
      <c r="P424" s="45">
        <f t="shared" ca="1" si="216"/>
        <v>83.464846863519341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73"/>
      <c r="B425" s="574"/>
      <c r="C425" s="575"/>
      <c r="D425" s="575"/>
      <c r="E425" s="575"/>
      <c r="F425" s="576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IFERROR(__xludf.DUMMYFUNCTION("IMPORTRANGE(""https://docs.google.com/spreadsheets/d/1kC41EOXpGBFOW658Fs3oD8beYlym0-zO54WY-2Qnp9I/edit?usp=share_link"",""กระบี่!N425"")
+IMPORTRANGE(""https://docs.google.com/spreadsheets/d/1FbzMZY_f3MDiEuK7RpCQKrilJ_kpX0Wm7QBZ1L7EjIU/edit?usp=share_link"&amp;""",""ชุมพร!N425"")+IMPORTRANGE(""https://docs.google.com/spreadsheets/d/1v5sN-00LrXuhBxw4dkh2GrG_z4l5oAqOdJRBCsUyMaM/edit?usp=share_link"",""ตรัง!N425"")+IMPORTRANGE(""https://docs.google.com/spreadsheets/d/1T5rRTzFc79aSIvqnzkZNvwPstq829QYz_xALlO1Z0s8/edi"&amp;"t?usp=share_link"",""นครศรีธรรมราช!N425"")+IMPORTRANGE(""https://docs.google.com/spreadsheets/d/1BeghqumK0IvCmRd2QOy6_afsZq7ZtAGrSnVJy2u7WmY/edit?usp=share_link"",""นราธิวาส!N425"")+IMPORTRANGE(""https://docs.google.com/spreadsheets/d/1IwnW3-jjRf74MCLW-6P"&amp;"iFwMUffRQXZwZA7YM609NmRc/edit?usp=share_link"",""ปัตตานี!N425"")+IMPORTRANGE(""https://docs.google.com/spreadsheets/d/1vl4QWbWdFruual5o_wdo6ZSqXZ_it806oja4CctTLKs/edit?usp=share_link"",""พังงา!N425"")+IMPORTRANGE(""https://docs.google.com/spreadsheets/d/1"&amp;"b6QssHQp2FoAPSMKHOy273KNzAomaIKhtdlvuZ_zDNE/edit?usp=share_link"",""พัทลุง!N425"")+IMPORTRANGE(""https://docs.google.com/spreadsheets/d/1o7UZe4_OqlqtLDHrj01Z2YFRSZDf1DMy1n3XViHaxRc/edit?usp=share_link"",""ภูเก็ต!N425"")+IMPORTRANGE(""https://docs.google.c"&amp;"om/spreadsheets/d/1ctPm1vUzcUCPuOj9-eoHUD85PqINFqUB0TjdSWmR5-c/edit?usp=share_link"",""ยะลา!N425"")+IMPORTRANGE(""https://docs.google.com/spreadsheets/d/1YiDIE7Klmt8osgdapRqYWNr7iPGFSsiJqq46S7PYRE0/edit?usp=share_link"",""ระนอง!N425"")+IMPORTRANGE(""https"&amp;"://docs.google.com/spreadsheets/d/16o_4B-V7AWw_6E93bSpXj_XxVv1oVQctk-B6z1dNEWU/edit?usp=share_link"",""สงขลา!N425"")+IMPORTRANGE(""https://docs.google.com/spreadsheets/d/16cywr71Fj4fA5OGRHsZh30ZG2gwJhMAQv69oVBzYHv0/edit?usp=share_link"",""สตูล!N425"")+IMP"&amp;"ORTRANGE(""https://docs.google.com/spreadsheets/d/1vO9Sws6kMtrVtyvrAJptINXjK8TFBoX9xLYOVK_C8bQ/edit?usp=share_link"",""สุราษฎร์ธานี!N425"")"),542495)</f>
        <v>542495</v>
      </c>
      <c r="O425" s="38"/>
      <c r="P425" s="3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20.25" customHeight="1">
      <c r="A426" s="573"/>
      <c r="B426" s="574"/>
      <c r="C426" s="575"/>
      <c r="D426" s="575"/>
      <c r="E426" s="575"/>
      <c r="F426" s="576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IFERROR(__xludf.DUMMYFUNCTION("IMPORTRANGE(""https://docs.google.com/spreadsheets/d/1kC41EOXpGBFOW658Fs3oD8beYlym0-zO54WY-2Qnp9I/edit?usp=share_link"",""กระบี่!N426"")
+IMPORTRANGE(""https://docs.google.com/spreadsheets/d/1FbzMZY_f3MDiEuK7RpCQKrilJ_kpX0Wm7QBZ1L7EjIU/edit?usp=share_link"&amp;""",""ชุมพร!N426"")+IMPORTRANGE(""https://docs.google.com/spreadsheets/d/1v5sN-00LrXuhBxw4dkh2GrG_z4l5oAqOdJRBCsUyMaM/edit?usp=share_link"",""ตรัง!N426"")+IMPORTRANGE(""https://docs.google.com/spreadsheets/d/1T5rRTzFc79aSIvqnzkZNvwPstq829QYz_xALlO1Z0s8/edi"&amp;"t?usp=share_link"",""นครศรีธรรมราช!N426"")+IMPORTRANGE(""https://docs.google.com/spreadsheets/d/1BeghqumK0IvCmRd2QOy6_afsZq7ZtAGrSnVJy2u7WmY/edit?usp=share_link"",""นราธิวาส!N426"")+IMPORTRANGE(""https://docs.google.com/spreadsheets/d/1IwnW3-jjRf74MCLW-6P"&amp;"iFwMUffRQXZwZA7YM609NmRc/edit?usp=share_link"",""ปัตตานี!N426"")+IMPORTRANGE(""https://docs.google.com/spreadsheets/d/1vl4QWbWdFruual5o_wdo6ZSqXZ_it806oja4CctTLKs/edit?usp=share_link"",""พังงา!N426"")+IMPORTRANGE(""https://docs.google.com/spreadsheets/d/1"&amp;"b6QssHQp2FoAPSMKHOy273KNzAomaIKhtdlvuZ_zDNE/edit?usp=share_link"",""พัทลุง!N426"")+IMPORTRANGE(""https://docs.google.com/spreadsheets/d/1o7UZe4_OqlqtLDHrj01Z2YFRSZDf1DMy1n3XViHaxRc/edit?usp=share_link"",""ภูเก็ต!N426"")+IMPORTRANGE(""https://docs.google.c"&amp;"om/spreadsheets/d/1ctPm1vUzcUCPuOj9-eoHUD85PqINFqUB0TjdSWmR5-c/edit?usp=share_link"",""ยะลา!N426"")+IMPORTRANGE(""https://docs.google.com/spreadsheets/d/1YiDIE7Klmt8osgdapRqYWNr7iPGFSsiJqq46S7PYRE0/edit?usp=share_link"",""ระนอง!N426"")+IMPORTRANGE(""https"&amp;"://docs.google.com/spreadsheets/d/16o_4B-V7AWw_6E93bSpXj_XxVv1oVQctk-B6z1dNEWU/edit?usp=share_link"",""สงขลา!N426"")+IMPORTRANGE(""https://docs.google.com/spreadsheets/d/16cywr71Fj4fA5OGRHsZh30ZG2gwJhMAQv69oVBzYHv0/edit?usp=share_link"",""สตูล!N426"")+IMP"&amp;"ORTRANGE(""https://docs.google.com/spreadsheets/d/1vO9Sws6kMtrVtyvrAJptINXjK8TFBoX9xLYOVK_C8bQ/edit?usp=share_link"",""สุราษฎร์ธานี!N426"")"),0)</f>
        <v>0</v>
      </c>
      <c r="O426" s="38"/>
      <c r="P426" s="3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20.25" customHeight="1">
      <c r="A427" s="573"/>
      <c r="B427" s="574"/>
      <c r="C427" s="575"/>
      <c r="D427" s="575"/>
      <c r="E427" s="575"/>
      <c r="F427" s="576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IFERROR(__xludf.DUMMYFUNCTION("IMPORTRANGE(""https://docs.google.com/spreadsheets/d/1kC41EOXpGBFOW658Fs3oD8beYlym0-zO54WY-2Qnp9I/edit?usp=share_link"",""กระบี่!N427"")
+IMPORTRANGE(""https://docs.google.com/spreadsheets/d/1FbzMZY_f3MDiEuK7RpCQKrilJ_kpX0Wm7QBZ1L7EjIU/edit?usp=share_link"&amp;""",""ชุมพร!N427"")+IMPORTRANGE(""https://docs.google.com/spreadsheets/d/1v5sN-00LrXuhBxw4dkh2GrG_z4l5oAqOdJRBCsUyMaM/edit?usp=share_link"",""ตรัง!N427"")+IMPORTRANGE(""https://docs.google.com/spreadsheets/d/1T5rRTzFc79aSIvqnzkZNvwPstq829QYz_xALlO1Z0s8/edi"&amp;"t?usp=share_link"",""นครศรีธรรมราช!N427"")+IMPORTRANGE(""https://docs.google.com/spreadsheets/d/1BeghqumK0IvCmRd2QOy6_afsZq7ZtAGrSnVJy2u7WmY/edit?usp=share_link"",""นราธิวาส!N427"")+IMPORTRANGE(""https://docs.google.com/spreadsheets/d/1IwnW3-jjRf74MCLW-6P"&amp;"iFwMUffRQXZwZA7YM609NmRc/edit?usp=share_link"",""ปัตตานี!N427"")+IMPORTRANGE(""https://docs.google.com/spreadsheets/d/1vl4QWbWdFruual5o_wdo6ZSqXZ_it806oja4CctTLKs/edit?usp=share_link"",""พังงา!N427"")+IMPORTRANGE(""https://docs.google.com/spreadsheets/d/1"&amp;"b6QssHQp2FoAPSMKHOy273KNzAomaIKhtdlvuZ_zDNE/edit?usp=share_link"",""พัทลุง!N427"")+IMPORTRANGE(""https://docs.google.com/spreadsheets/d/1o7UZe4_OqlqtLDHrj01Z2YFRSZDf1DMy1n3XViHaxRc/edit?usp=share_link"",""ภูเก็ต!N427"")+IMPORTRANGE(""https://docs.google.c"&amp;"om/spreadsheets/d/1ctPm1vUzcUCPuOj9-eoHUD85PqINFqUB0TjdSWmR5-c/edit?usp=share_link"",""ยะลา!N427"")+IMPORTRANGE(""https://docs.google.com/spreadsheets/d/1YiDIE7Klmt8osgdapRqYWNr7iPGFSsiJqq46S7PYRE0/edit?usp=share_link"",""ระนอง!N427"")+IMPORTRANGE(""https"&amp;"://docs.google.com/spreadsheets/d/16o_4B-V7AWw_6E93bSpXj_XxVv1oVQctk-B6z1dNEWU/edit?usp=share_link"",""สงขลา!N427"")+IMPORTRANGE(""https://docs.google.com/spreadsheets/d/16cywr71Fj4fA5OGRHsZh30ZG2gwJhMAQv69oVBzYHv0/edit?usp=share_link"",""สตูล!N427"")+IMP"&amp;"ORTRANGE(""https://docs.google.com/spreadsheets/d/1vO9Sws6kMtrVtyvrAJptINXjK8TFBoX9xLYOVK_C8bQ/edit?usp=share_link"",""สุราษฎร์ธานี!N427"")"),0)</f>
        <v>0</v>
      </c>
      <c r="O427" s="38"/>
      <c r="P427" s="3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20.25" customHeight="1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IFERROR(__xludf.DUMMYFUNCTION("IMPORTRANGE(""https://docs.google.com/spreadsheets/d/1kC41EOXpGBFOW658Fs3oD8beYlym0-zO54WY-2Qnp9I/edit?usp=share_link"",""กระบี่!N428"")
+IMPORTRANGE(""https://docs.google.com/spreadsheets/d/1FbzMZY_f3MDiEuK7RpCQKrilJ_kpX0Wm7QBZ1L7EjIU/edit?usp=share_link"&amp;""",""ชุมพร!N428"")+IMPORTRANGE(""https://docs.google.com/spreadsheets/d/1v5sN-00LrXuhBxw4dkh2GrG_z4l5oAqOdJRBCsUyMaM/edit?usp=share_link"",""ตรัง!N428"")+IMPORTRANGE(""https://docs.google.com/spreadsheets/d/1T5rRTzFc79aSIvqnzkZNvwPstq829QYz_xALlO1Z0s8/edi"&amp;"t?usp=share_link"",""นครศรีธรรมราช!N428"")+IMPORTRANGE(""https://docs.google.com/spreadsheets/d/1BeghqumK0IvCmRd2QOy6_afsZq7ZtAGrSnVJy2u7WmY/edit?usp=share_link"",""นราธิวาส!N428"")+IMPORTRANGE(""https://docs.google.com/spreadsheets/d/1IwnW3-jjRf74MCLW-6P"&amp;"iFwMUffRQXZwZA7YM609NmRc/edit?usp=share_link"",""ปัตตานี!N428"")+IMPORTRANGE(""https://docs.google.com/spreadsheets/d/1vl4QWbWdFruual5o_wdo6ZSqXZ_it806oja4CctTLKs/edit?usp=share_link"",""พังงา!N428"")+IMPORTRANGE(""https://docs.google.com/spreadsheets/d/1"&amp;"b6QssHQp2FoAPSMKHOy273KNzAomaIKhtdlvuZ_zDNE/edit?usp=share_link"",""พัทลุง!N428"")+IMPORTRANGE(""https://docs.google.com/spreadsheets/d/1o7UZe4_OqlqtLDHrj01Z2YFRSZDf1DMy1n3XViHaxRc/edit?usp=share_link"",""ภูเก็ต!N428"")+IMPORTRANGE(""https://docs.google.c"&amp;"om/spreadsheets/d/1ctPm1vUzcUCPuOj9-eoHUD85PqINFqUB0TjdSWmR5-c/edit?usp=share_link"",""ยะลา!N428"")+IMPORTRANGE(""https://docs.google.com/spreadsheets/d/1YiDIE7Klmt8osgdapRqYWNr7iPGFSsiJqq46S7PYRE0/edit?usp=share_link"",""ระนอง!N428"")+IMPORTRANGE(""https"&amp;"://docs.google.com/spreadsheets/d/16o_4B-V7AWw_6E93bSpXj_XxVv1oVQctk-B6z1dNEWU/edit?usp=share_link"",""สงขลา!N428"")+IMPORTRANGE(""https://docs.google.com/spreadsheets/d/16cywr71Fj4fA5OGRHsZh30ZG2gwJhMAQv69oVBzYHv0/edit?usp=share_link"",""สตูล!N428"")+IMP"&amp;"ORTRANGE(""https://docs.google.com/spreadsheets/d/1vO9Sws6kMtrVtyvrAJptINXjK8TFBoX9xLYOVK_C8bQ/edit?usp=share_link"",""สุราษฎร์ธานี!N428"")"),368532.15)</f>
        <v>368532.15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IFERROR(__xludf.DUMMYFUNCTION("IMPORTRANGE(""https://docs.google.com/spreadsheets/d/1kC41EOXpGBFOW658Fs3oD8beYlym0-zO54WY-2Qnp9I/edit?usp=share_link"",""กระบี่!L431"")
+IMPORTRANGE(""https://docs.google.com/spreadsheets/d/1FbzMZY_f3MDiEuK7RpCQKrilJ_kpX0Wm7QBZ1L7EjIU/edit?usp=share_link"&amp;""",""ชุมพร!L431"")+IMPORTRANGE(""https://docs.google.com/spreadsheets/d/1v5sN-00LrXuhBxw4dkh2GrG_z4l5oAqOdJRBCsUyMaM/edit?usp=share_link"",""ตรัง!L431"")+IMPORTRANGE(""https://docs.google.com/spreadsheets/d/1T5rRTzFc79aSIvqnzkZNvwPstq829QYz_xALlO1Z0s8/edi"&amp;"t?usp=share_link"",""นครศรีธรรมราช!L431"")+IMPORTRANGE(""https://docs.google.com/spreadsheets/d/1BeghqumK0IvCmRd2QOy6_afsZq7ZtAGrSnVJy2u7WmY/edit?usp=share_link"",""นราธิวาส!L431"")+IMPORTRANGE(""https://docs.google.com/spreadsheets/d/1IwnW3-jjRf74MCLW-6P"&amp;"iFwMUffRQXZwZA7YM609NmRc/edit?usp=share_link"",""ปัตตานี!L431"")+IMPORTRANGE(""https://docs.google.com/spreadsheets/d/1vl4QWbWdFruual5o_wdo6ZSqXZ_it806oja4CctTLKs/edit?usp=share_link"",""พังงา!L431"")+IMPORTRANGE(""https://docs.google.com/spreadsheets/d/1"&amp;"b6QssHQp2FoAPSMKHOy273KNzAomaIKhtdlvuZ_zDNE/edit?usp=share_link"",""พัทลุง!L431"")+IMPORTRANGE(""https://docs.google.com/spreadsheets/d/1o7UZe4_OqlqtLDHrj01Z2YFRSZDf1DMy1n3XViHaxRc/edit?usp=share_link"",""ภูเก็ต!L431"")+IMPORTRANGE(""https://docs.google.c"&amp;"om/spreadsheets/d/1ctPm1vUzcUCPuOj9-eoHUD85PqINFqUB0TjdSWmR5-c/edit?usp=share_link"",""ยะลา!L431"")+IMPORTRANGE(""https://docs.google.com/spreadsheets/d/1YiDIE7Klmt8osgdapRqYWNr7iPGFSsiJqq46S7PYRE0/edit?usp=share_link"",""ระนอง!L431"")+IMPORTRANGE(""https"&amp;"://docs.google.com/spreadsheets/d/16o_4B-V7AWw_6E93bSpXj_XxVv1oVQctk-B6z1dNEWU/edit?usp=share_link"",""สงขลา!L431"")+IMPORTRANGE(""https://docs.google.com/spreadsheets/d/16cywr71Fj4fA5OGRHsZh30ZG2gwJhMAQv69oVBzYHv0/edit?usp=share_link"",""สตูล!L431"")+IMP"&amp;"ORTRANGE(""https://docs.google.com/spreadsheets/d/1vO9Sws6kMtrVtyvrAJptINXjK8TFBoX9xLYOVK_C8bQ/edit?usp=share_link"",""สุราษฎร์ธานี!L431"")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5"/>
      <c r="B432" s="416"/>
      <c r="C432" s="148" t="s">
        <v>16</v>
      </c>
      <c r="D432" s="578" t="s">
        <v>38</v>
      </c>
      <c r="E432" s="579"/>
      <c r="F432" s="579"/>
      <c r="G432" s="580"/>
      <c r="H432" s="581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250</v>
      </c>
      <c r="J433" s="194">
        <f ca="1">IFERROR(__xludf.DUMMYFUNCTION("IMPORTRANGE(""https://docs.google.com/spreadsheets/d/1kC41EOXpGBFOW658Fs3oD8beYlym0-zO54WY-2Qnp9I/edit?usp=share_link"",""กระบี่!J433"")
+IMPORTRANGE(""https://docs.google.com/spreadsheets/d/1FbzMZY_f3MDiEuK7RpCQKrilJ_kpX0Wm7QBZ1L7EjIU/edit?usp=share_link"&amp;""",""ชุมพร!J433"")+IMPORTRANGE(""https://docs.google.com/spreadsheets/d/1v5sN-00LrXuhBxw4dkh2GrG_z4l5oAqOdJRBCsUyMaM/edit?usp=share_link"",""ตรัง!J433"")+IMPORTRANGE(""https://docs.google.com/spreadsheets/d/1T5rRTzFc79aSIvqnzkZNvwPstq829QYz_xALlO1Z0s8/edi"&amp;"t?usp=share_link"",""นครศรีธรรมราช!J433"")+IMPORTRANGE(""https://docs.google.com/spreadsheets/d/1BeghqumK0IvCmRd2QOy6_afsZq7ZtAGrSnVJy2u7WmY/edit?usp=share_link"",""นราธิวาส!J433"")+IMPORTRANGE(""https://docs.google.com/spreadsheets/d/1IwnW3-jjRf74MCLW-6P"&amp;"iFwMUffRQXZwZA7YM609NmRc/edit?usp=share_link"",""ปัตตานี!J433"")+IMPORTRANGE(""https://docs.google.com/spreadsheets/d/1vl4QWbWdFruual5o_wdo6ZSqXZ_it806oja4CctTLKs/edit?usp=share_link"",""พังงา!J433"")+IMPORTRANGE(""https://docs.google.com/spreadsheets/d/1"&amp;"b6QssHQp2FoAPSMKHOy273KNzAomaIKhtdlvuZ_zDNE/edit?usp=share_link"",""พัทลุง!J433"")+IMPORTRANGE(""https://docs.google.com/spreadsheets/d/1o7UZe4_OqlqtLDHrj01Z2YFRSZDf1DMy1n3XViHaxRc/edit?usp=share_link"",""ภูเก็ต!J433"")+IMPORTRANGE(""https://docs.google.c"&amp;"om/spreadsheets/d/1ctPm1vUzcUCPuOj9-eoHUD85PqINFqUB0TjdSWmR5-c/edit?usp=share_link"",""ยะลา!J433"")+IMPORTRANGE(""https://docs.google.com/spreadsheets/d/1YiDIE7Klmt8osgdapRqYWNr7iPGFSsiJqq46S7PYRE0/edit?usp=share_link"",""ระนอง!J433"")+IMPORTRANGE(""https"&amp;"://docs.google.com/spreadsheets/d/16o_4B-V7AWw_6E93bSpXj_XxVv1oVQctk-B6z1dNEWU/edit?usp=share_link"",""สงขลา!J433"")+IMPORTRANGE(""https://docs.google.com/spreadsheets/d/16cywr71Fj4fA5OGRHsZh30ZG2gwJhMAQv69oVBzYHv0/edit?usp=share_link"",""สตูล!J433"")+IMP"&amp;"ORTRANGE(""https://docs.google.com/spreadsheets/d/1vO9Sws6kMtrVtyvrAJptINXjK8TFBoX9xLYOVK_C8bQ/edit?usp=share_link"",""สุราษฎร์ธานี!J433"")"),250)</f>
        <v>250</v>
      </c>
      <c r="K433" s="195">
        <f t="shared" ref="K433:K435" ca="1" si="223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4">I438+I440</f>
        <v>15</v>
      </c>
      <c r="J434" s="194">
        <f t="shared" ca="1" si="224"/>
        <v>14</v>
      </c>
      <c r="K434" s="195">
        <f t="shared" ca="1" si="223"/>
        <v>93.333333333333329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82">
        <f ca="1">IFERROR(__xludf.DUMMYFUNCTION("IMPORTRANGE(""https://docs.google.com/spreadsheets/d/1kC41EOXpGBFOW658Fs3oD8beYlym0-zO54WY-2Qnp9I/edit?usp=share_link"",""กระบี่!I435"")
+IMPORTRANGE(""https://docs.google.com/spreadsheets/d/1FbzMZY_f3MDiEuK7RpCQKrilJ_kpX0Wm7QBZ1L7EjIU/edit?usp=share_link"&amp;""",""ชุมพร!I435"")+IMPORTRANGE(""https://docs.google.com/spreadsheets/d/1v5sN-00LrXuhBxw4dkh2GrG_z4l5oAqOdJRBCsUyMaM/edit?usp=share_link"",""ตรัง!I435"")+IMPORTRANGE(""https://docs.google.com/spreadsheets/d/1T5rRTzFc79aSIvqnzkZNvwPstq829QYz_xALlO1Z0s8/edi"&amp;"t?usp=share_link"",""นครศรีธรรมราช!I435"")+IMPORTRANGE(""https://docs.google.com/spreadsheets/d/1BeghqumK0IvCmRd2QOy6_afsZq7ZtAGrSnVJy2u7WmY/edit?usp=share_link"",""นราธิวาส!I435"")+IMPORTRANGE(""https://docs.google.com/spreadsheets/d/1IwnW3-jjRf74MCLW-6P"&amp;"iFwMUffRQXZwZA7YM609NmRc/edit?usp=share_link"",""ปัตตานี!I435"")+IMPORTRANGE(""https://docs.google.com/spreadsheets/d/1vl4QWbWdFruual5o_wdo6ZSqXZ_it806oja4CctTLKs/edit?usp=share_link"",""พังงา!I435"")+IMPORTRANGE(""https://docs.google.com/spreadsheets/d/1"&amp;"b6QssHQp2FoAPSMKHOy273KNzAomaIKhtdlvuZ_zDNE/edit?usp=share_link"",""พัทลุง!I435"")+IMPORTRANGE(""https://docs.google.com/spreadsheets/d/1o7UZe4_OqlqtLDHrj01Z2YFRSZDf1DMy1n3XViHaxRc/edit?usp=share_link"",""ภูเก็ต!I435"")+IMPORTRANGE(""https://docs.google.c"&amp;"om/spreadsheets/d/1ctPm1vUzcUCPuOj9-eoHUD85PqINFqUB0TjdSWmR5-c/edit?usp=share_link"",""ยะลา!I435"")+IMPORTRANGE(""https://docs.google.com/spreadsheets/d/1YiDIE7Klmt8osgdapRqYWNr7iPGFSsiJqq46S7PYRE0/edit?usp=share_link"",""ระนอง!I435"")+IMPORTRANGE(""https"&amp;"://docs.google.com/spreadsheets/d/16o_4B-V7AWw_6E93bSpXj_XxVv1oVQctk-B6z1dNEWU/edit?usp=share_link"",""สงขลา!I435"")+IMPORTRANGE(""https://docs.google.com/spreadsheets/d/16cywr71Fj4fA5OGRHsZh30ZG2gwJhMAQv69oVBzYHv0/edit?usp=share_link"",""สตูล!I435"")+IMP"&amp;"ORTRANGE(""https://docs.google.com/spreadsheets/d/1vO9Sws6kMtrVtyvrAJptINXjK8TFBoX9xLYOVK_C8bQ/edit?usp=share_link"",""สุราษฎร์ธานี!I435"")"),250)</f>
        <v>250</v>
      </c>
      <c r="J435" s="583">
        <f ca="1">IFERROR(__xludf.DUMMYFUNCTION("IMPORTRANGE(""https://docs.google.com/spreadsheets/d/1kC41EOXpGBFOW658Fs3oD8beYlym0-zO54WY-2Qnp9I/edit?usp=share_link"",""กระบี่!J435"")
+IMPORTRANGE(""https://docs.google.com/spreadsheets/d/1FbzMZY_f3MDiEuK7RpCQKrilJ_kpX0Wm7QBZ1L7EjIU/edit?usp=share_link"&amp;""",""ชุมพร!J435"")+IMPORTRANGE(""https://docs.google.com/spreadsheets/d/1v5sN-00LrXuhBxw4dkh2GrG_z4l5oAqOdJRBCsUyMaM/edit?usp=share_link"",""ตรัง!J435"")+IMPORTRANGE(""https://docs.google.com/spreadsheets/d/1T5rRTzFc79aSIvqnzkZNvwPstq829QYz_xALlO1Z0s8/edi"&amp;"t?usp=share_link"",""นครศรีธรรมราช!J435"")+IMPORTRANGE(""https://docs.google.com/spreadsheets/d/1BeghqumK0IvCmRd2QOy6_afsZq7ZtAGrSnVJy2u7WmY/edit?usp=share_link"",""นราธิวาส!J435"")+IMPORTRANGE(""https://docs.google.com/spreadsheets/d/1IwnW3-jjRf74MCLW-6P"&amp;"iFwMUffRQXZwZA7YM609NmRc/edit?usp=share_link"",""ปัตตานี!J435"")+IMPORTRANGE(""https://docs.google.com/spreadsheets/d/1vl4QWbWdFruual5o_wdo6ZSqXZ_it806oja4CctTLKs/edit?usp=share_link"",""พังงา!J435"")+IMPORTRANGE(""https://docs.google.com/spreadsheets/d/1"&amp;"b6QssHQp2FoAPSMKHOy273KNzAomaIKhtdlvuZ_zDNE/edit?usp=share_link"",""พัทลุง!J435"")+IMPORTRANGE(""https://docs.google.com/spreadsheets/d/1o7UZe4_OqlqtLDHrj01Z2YFRSZDf1DMy1n3XViHaxRc/edit?usp=share_link"",""ภูเก็ต!J435"")+IMPORTRANGE(""https://docs.google.c"&amp;"om/spreadsheets/d/1ctPm1vUzcUCPuOj9-eoHUD85PqINFqUB0TjdSWmR5-c/edit?usp=share_link"",""ยะลา!J435"")+IMPORTRANGE(""https://docs.google.com/spreadsheets/d/1YiDIE7Klmt8osgdapRqYWNr7iPGFSsiJqq46S7PYRE0/edit?usp=share_link"",""ระนอง!J435"")+IMPORTRANGE(""https"&amp;"://docs.google.com/spreadsheets/d/16o_4B-V7AWw_6E93bSpXj_XxVv1oVQctk-B6z1dNEWU/edit?usp=share_link"",""สงขลา!J435"")+IMPORTRANGE(""https://docs.google.com/spreadsheets/d/16cywr71Fj4fA5OGRHsZh30ZG2gwJhMAQv69oVBzYHv0/edit?usp=share_link"",""สตูล!J435"")+IMP"&amp;"ORTRANGE(""https://docs.google.com/spreadsheets/d/1vO9Sws6kMtrVtyvrAJptINXjK8TFBoX9xLYOVK_C8bQ/edit?usp=share_link"",""สุราษฎร์ธานี!J435"")"),250)</f>
        <v>250</v>
      </c>
      <c r="K435" s="498">
        <f t="shared" ca="1" si="223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82">
        <f ca="1">IFERROR(__xludf.DUMMYFUNCTION("IMPORTRANGE(""https://docs.google.com/spreadsheets/d/1kC41EOXpGBFOW658Fs3oD8beYlym0-zO54WY-2Qnp9I/edit?usp=share_link"",""กระบี่!I437"")
+IMPORTRANGE(""https://docs.google.com/spreadsheets/d/1FbzMZY_f3MDiEuK7RpCQKrilJ_kpX0Wm7QBZ1L7EjIU/edit?usp=share_link"&amp;""",""ชุมพร!I437"")+IMPORTRANGE(""https://docs.google.com/spreadsheets/d/1v5sN-00LrXuhBxw4dkh2GrG_z4l5oAqOdJRBCsUyMaM/edit?usp=share_link"",""ตรัง!I437"")+IMPORTRANGE(""https://docs.google.com/spreadsheets/d/1T5rRTzFc79aSIvqnzkZNvwPstq829QYz_xALlO1Z0s8/edi"&amp;"t?usp=share_link"",""นครศรีธรรมราช!I437"")+IMPORTRANGE(""https://docs.google.com/spreadsheets/d/1BeghqumK0IvCmRd2QOy6_afsZq7ZtAGrSnVJy2u7WmY/edit?usp=share_link"",""นราธิวาส!I437"")+IMPORTRANGE(""https://docs.google.com/spreadsheets/d/1IwnW3-jjRf74MCLW-6P"&amp;"iFwMUffRQXZwZA7YM609NmRc/edit?usp=share_link"",""ปัตตานี!I437"")+IMPORTRANGE(""https://docs.google.com/spreadsheets/d/1vl4QWbWdFruual5o_wdo6ZSqXZ_it806oja4CctTLKs/edit?usp=share_link"",""พังงา!I437"")+IMPORTRANGE(""https://docs.google.com/spreadsheets/d/1"&amp;"b6QssHQp2FoAPSMKHOy273KNzAomaIKhtdlvuZ_zDNE/edit?usp=share_link"",""พัทลุง!I437"")+IMPORTRANGE(""https://docs.google.com/spreadsheets/d/1o7UZe4_OqlqtLDHrj01Z2YFRSZDf1DMy1n3XViHaxRc/edit?usp=share_link"",""ภูเก็ต!I437"")+IMPORTRANGE(""https://docs.google.c"&amp;"om/spreadsheets/d/1ctPm1vUzcUCPuOj9-eoHUD85PqINFqUB0TjdSWmR5-c/edit?usp=share_link"",""ยะลา!I437"")+IMPORTRANGE(""https://docs.google.com/spreadsheets/d/1YiDIE7Klmt8osgdapRqYWNr7iPGFSsiJqq46S7PYRE0/edit?usp=share_link"",""ระนอง!I437"")+IMPORTRANGE(""https"&amp;"://docs.google.com/spreadsheets/d/16o_4B-V7AWw_6E93bSpXj_XxVv1oVQctk-B6z1dNEWU/edit?usp=share_link"",""สงขลา!I437"")+IMPORTRANGE(""https://docs.google.com/spreadsheets/d/16cywr71Fj4fA5OGRHsZh30ZG2gwJhMAQv69oVBzYHv0/edit?usp=share_link"",""สตูล!I437"")+IMP"&amp;"ORTRANGE(""https://docs.google.com/spreadsheets/d/1vO9Sws6kMtrVtyvrAJptINXjK8TFBoX9xLYOVK_C8bQ/edit?usp=share_link"",""สุราษฎร์ธานี!I437"")"),30)</f>
        <v>30</v>
      </c>
      <c r="J437" s="583">
        <f ca="1">IFERROR(__xludf.DUMMYFUNCTION("IMPORTRANGE(""https://docs.google.com/spreadsheets/d/1kC41EOXpGBFOW658Fs3oD8beYlym0-zO54WY-2Qnp9I/edit?usp=share_link"",""กระบี่!J437"")
+IMPORTRANGE(""https://docs.google.com/spreadsheets/d/1FbzMZY_f3MDiEuK7RpCQKrilJ_kpX0Wm7QBZ1L7EjIU/edit?usp=share_link"&amp;""",""ชุมพร!J437"")+IMPORTRANGE(""https://docs.google.com/spreadsheets/d/1v5sN-00LrXuhBxw4dkh2GrG_z4l5oAqOdJRBCsUyMaM/edit?usp=share_link"",""ตรัง!J437"")+IMPORTRANGE(""https://docs.google.com/spreadsheets/d/1T5rRTzFc79aSIvqnzkZNvwPstq829QYz_xALlO1Z0s8/edi"&amp;"t?usp=share_link"",""นครศรีธรรมราช!J437"")+IMPORTRANGE(""https://docs.google.com/spreadsheets/d/1BeghqumK0IvCmRd2QOy6_afsZq7ZtAGrSnVJy2u7WmY/edit?usp=share_link"",""นราธิวาส!J437"")+IMPORTRANGE(""https://docs.google.com/spreadsheets/d/1IwnW3-jjRf74MCLW-6P"&amp;"iFwMUffRQXZwZA7YM609NmRc/edit?usp=share_link"",""ปัตตานี!J437"")+IMPORTRANGE(""https://docs.google.com/spreadsheets/d/1vl4QWbWdFruual5o_wdo6ZSqXZ_it806oja4CctTLKs/edit?usp=share_link"",""พังงา!J437"")+IMPORTRANGE(""https://docs.google.com/spreadsheets/d/1"&amp;"b6QssHQp2FoAPSMKHOy273KNzAomaIKhtdlvuZ_zDNE/edit?usp=share_link"",""พัทลุง!J437"")+IMPORTRANGE(""https://docs.google.com/spreadsheets/d/1o7UZe4_OqlqtLDHrj01Z2YFRSZDf1DMy1n3XViHaxRc/edit?usp=share_link"",""ภูเก็ต!J437"")+IMPORTRANGE(""https://docs.google.c"&amp;"om/spreadsheets/d/1ctPm1vUzcUCPuOj9-eoHUD85PqINFqUB0TjdSWmR5-c/edit?usp=share_link"",""ยะลา!J437"")+IMPORTRANGE(""https://docs.google.com/spreadsheets/d/1YiDIE7Klmt8osgdapRqYWNr7iPGFSsiJqq46S7PYRE0/edit?usp=share_link"",""ระนอง!J437"")+IMPORTRANGE(""https"&amp;"://docs.google.com/spreadsheets/d/16o_4B-V7AWw_6E93bSpXj_XxVv1oVQctk-B6z1dNEWU/edit?usp=share_link"",""สงขลา!J437"")+IMPORTRANGE(""https://docs.google.com/spreadsheets/d/16cywr71Fj4fA5OGRHsZh30ZG2gwJhMAQv69oVBzYHv0/edit?usp=share_link"",""สตูล!J437"")+IMP"&amp;"ORTRANGE(""https://docs.google.com/spreadsheets/d/1vO9Sws6kMtrVtyvrAJptINXjK8TFBoX9xLYOVK_C8bQ/edit?usp=share_link"",""สุราษฎร์ธานี!J437"")"),30)</f>
        <v>30</v>
      </c>
      <c r="K437" s="498">
        <f t="shared" ref="K437:K443" ca="1" si="225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IFERROR(__xludf.DUMMYFUNCTION("IMPORTRANGE(""https://docs.google.com/spreadsheets/d/1kC41EOXpGBFOW658Fs3oD8beYlym0-zO54WY-2Qnp9I/edit?usp=share_link"",""กระบี่!I438"")
+IMPORTRANGE(""https://docs.google.com/spreadsheets/d/1FbzMZY_f3MDiEuK7RpCQKrilJ_kpX0Wm7QBZ1L7EjIU/edit?usp=share_link"&amp;""",""ชุมพร!I438"")+IMPORTRANGE(""https://docs.google.com/spreadsheets/d/1v5sN-00LrXuhBxw4dkh2GrG_z4l5oAqOdJRBCsUyMaM/edit?usp=share_link"",""ตรัง!I438"")+IMPORTRANGE(""https://docs.google.com/spreadsheets/d/1T5rRTzFc79aSIvqnzkZNvwPstq829QYz_xALlO1Z0s8/edi"&amp;"t?usp=share_link"",""นครศรีธรรมราช!I438"")+IMPORTRANGE(""https://docs.google.com/spreadsheets/d/1BeghqumK0IvCmRd2QOy6_afsZq7ZtAGrSnVJy2u7WmY/edit?usp=share_link"",""นราธิวาส!I438"")+IMPORTRANGE(""https://docs.google.com/spreadsheets/d/1IwnW3-jjRf74MCLW-6P"&amp;"iFwMUffRQXZwZA7YM609NmRc/edit?usp=share_link"",""ปัตตานี!I438"")+IMPORTRANGE(""https://docs.google.com/spreadsheets/d/1vl4QWbWdFruual5o_wdo6ZSqXZ_it806oja4CctTLKs/edit?usp=share_link"",""พังงา!I438"")+IMPORTRANGE(""https://docs.google.com/spreadsheets/d/1"&amp;"b6QssHQp2FoAPSMKHOy273KNzAomaIKhtdlvuZ_zDNE/edit?usp=share_link"",""พัทลุง!I438"")+IMPORTRANGE(""https://docs.google.com/spreadsheets/d/1o7UZe4_OqlqtLDHrj01Z2YFRSZDf1DMy1n3XViHaxRc/edit?usp=share_link"",""ภูเก็ต!I438"")+IMPORTRANGE(""https://docs.google.c"&amp;"om/spreadsheets/d/1ctPm1vUzcUCPuOj9-eoHUD85PqINFqUB0TjdSWmR5-c/edit?usp=share_link"",""ยะลา!I438"")+IMPORTRANGE(""https://docs.google.com/spreadsheets/d/1YiDIE7Klmt8osgdapRqYWNr7iPGFSsiJqq46S7PYRE0/edit?usp=share_link"",""ระนอง!I438"")+IMPORTRANGE(""https"&amp;"://docs.google.com/spreadsheets/d/16o_4B-V7AWw_6E93bSpXj_XxVv1oVQctk-B6z1dNEWU/edit?usp=share_link"",""สงขลา!I438"")+IMPORTRANGE(""https://docs.google.com/spreadsheets/d/16cywr71Fj4fA5OGRHsZh30ZG2gwJhMAQv69oVBzYHv0/edit?usp=share_link"",""สตูล!I438"")+IMP"&amp;"ORTRANGE(""https://docs.google.com/spreadsheets/d/1vO9Sws6kMtrVtyvrAJptINXjK8TFBoX9xLYOVK_C8bQ/edit?usp=share_link"",""สุราษฎร์ธานี!I438"")"),1)</f>
        <v>1</v>
      </c>
      <c r="J438" s="183">
        <f ca="1">IFERROR(__xludf.DUMMYFUNCTION("IMPORTRANGE(""https://docs.google.com/spreadsheets/d/1kC41EOXpGBFOW658Fs3oD8beYlym0-zO54WY-2Qnp9I/edit?usp=share_link"",""กระบี่!J438"")
+IMPORTRANGE(""https://docs.google.com/spreadsheets/d/1FbzMZY_f3MDiEuK7RpCQKrilJ_kpX0Wm7QBZ1L7EjIU/edit?usp=share_link"&amp;""",""ชุมพร!J438"")+IMPORTRANGE(""https://docs.google.com/spreadsheets/d/1v5sN-00LrXuhBxw4dkh2GrG_z4l5oAqOdJRBCsUyMaM/edit?usp=share_link"",""ตรัง!J438"")+IMPORTRANGE(""https://docs.google.com/spreadsheets/d/1T5rRTzFc79aSIvqnzkZNvwPstq829QYz_xALlO1Z0s8/edi"&amp;"t?usp=share_link"",""นครศรีธรรมราช!J438"")+IMPORTRANGE(""https://docs.google.com/spreadsheets/d/1BeghqumK0IvCmRd2QOy6_afsZq7ZtAGrSnVJy2u7WmY/edit?usp=share_link"",""นราธิวาส!J438"")+IMPORTRANGE(""https://docs.google.com/spreadsheets/d/1IwnW3-jjRf74MCLW-6P"&amp;"iFwMUffRQXZwZA7YM609NmRc/edit?usp=share_link"",""ปัตตานี!J438"")+IMPORTRANGE(""https://docs.google.com/spreadsheets/d/1vl4QWbWdFruual5o_wdo6ZSqXZ_it806oja4CctTLKs/edit?usp=share_link"",""พังงา!J438"")+IMPORTRANGE(""https://docs.google.com/spreadsheets/d/1"&amp;"b6QssHQp2FoAPSMKHOy273KNzAomaIKhtdlvuZ_zDNE/edit?usp=share_link"",""พัทลุง!J438"")+IMPORTRANGE(""https://docs.google.com/spreadsheets/d/1o7UZe4_OqlqtLDHrj01Z2YFRSZDf1DMy1n3XViHaxRc/edit?usp=share_link"",""ภูเก็ต!J438"")+IMPORTRANGE(""https://docs.google.c"&amp;"om/spreadsheets/d/1ctPm1vUzcUCPuOj9-eoHUD85PqINFqUB0TjdSWmR5-c/edit?usp=share_link"",""ยะลา!J438"")+IMPORTRANGE(""https://docs.google.com/spreadsheets/d/1YiDIE7Klmt8osgdapRqYWNr7iPGFSsiJqq46S7PYRE0/edit?usp=share_link"",""ระนอง!J438"")+IMPORTRANGE(""https"&amp;"://docs.google.com/spreadsheets/d/16o_4B-V7AWw_6E93bSpXj_XxVv1oVQctk-B6z1dNEWU/edit?usp=share_link"",""สงขลา!J438"")+IMPORTRANGE(""https://docs.google.com/spreadsheets/d/16cywr71Fj4fA5OGRHsZh30ZG2gwJhMAQv69oVBzYHv0/edit?usp=share_link"",""สตูล!J438"")+IMP"&amp;"ORTRANGE(""https://docs.google.com/spreadsheets/d/1vO9Sws6kMtrVtyvrAJptINXjK8TFBoX9xLYOVK_C8bQ/edit?usp=share_link"",""สุราษฎร์ธานี!J438"")"),1)</f>
        <v>1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82">
        <f ca="1">IFERROR(__xludf.DUMMYFUNCTION("IMPORTRANGE(""https://docs.google.com/spreadsheets/d/1kC41EOXpGBFOW658Fs3oD8beYlym0-zO54WY-2Qnp9I/edit?usp=share_link"",""กระบี่!I439"")
+IMPORTRANGE(""https://docs.google.com/spreadsheets/d/1FbzMZY_f3MDiEuK7RpCQKrilJ_kpX0Wm7QBZ1L7EjIU/edit?usp=share_link"&amp;""",""ชุมพร!I439"")+IMPORTRANGE(""https://docs.google.com/spreadsheets/d/1v5sN-00LrXuhBxw4dkh2GrG_z4l5oAqOdJRBCsUyMaM/edit?usp=share_link"",""ตรัง!I439"")+IMPORTRANGE(""https://docs.google.com/spreadsheets/d/1T5rRTzFc79aSIvqnzkZNvwPstq829QYz_xALlO1Z0s8/edi"&amp;"t?usp=share_link"",""นครศรีธรรมราช!I439"")+IMPORTRANGE(""https://docs.google.com/spreadsheets/d/1BeghqumK0IvCmRd2QOy6_afsZq7ZtAGrSnVJy2u7WmY/edit?usp=share_link"",""นราธิวาส!I439"")+IMPORTRANGE(""https://docs.google.com/spreadsheets/d/1IwnW3-jjRf74MCLW-6P"&amp;"iFwMUffRQXZwZA7YM609NmRc/edit?usp=share_link"",""ปัตตานี!I439"")+IMPORTRANGE(""https://docs.google.com/spreadsheets/d/1vl4QWbWdFruual5o_wdo6ZSqXZ_it806oja4CctTLKs/edit?usp=share_link"",""พังงา!I439"")+IMPORTRANGE(""https://docs.google.com/spreadsheets/d/1"&amp;"b6QssHQp2FoAPSMKHOy273KNzAomaIKhtdlvuZ_zDNE/edit?usp=share_link"",""พัทลุง!I439"")+IMPORTRANGE(""https://docs.google.com/spreadsheets/d/1o7UZe4_OqlqtLDHrj01Z2YFRSZDf1DMy1n3XViHaxRc/edit?usp=share_link"",""ภูเก็ต!I439"")+IMPORTRANGE(""https://docs.google.c"&amp;"om/spreadsheets/d/1ctPm1vUzcUCPuOj9-eoHUD85PqINFqUB0TjdSWmR5-c/edit?usp=share_link"",""ยะลา!I439"")+IMPORTRANGE(""https://docs.google.com/spreadsheets/d/1YiDIE7Klmt8osgdapRqYWNr7iPGFSsiJqq46S7PYRE0/edit?usp=share_link"",""ระนอง!I439"")+IMPORTRANGE(""https"&amp;"://docs.google.com/spreadsheets/d/16o_4B-V7AWw_6E93bSpXj_XxVv1oVQctk-B6z1dNEWU/edit?usp=share_link"",""สงขลา!I439"")+IMPORTRANGE(""https://docs.google.com/spreadsheets/d/16cywr71Fj4fA5OGRHsZh30ZG2gwJhMAQv69oVBzYHv0/edit?usp=share_link"",""สตูล!I439"")+IMP"&amp;"ORTRANGE(""https://docs.google.com/spreadsheets/d/1vO9Sws6kMtrVtyvrAJptINXjK8TFBoX9xLYOVK_C8bQ/edit?usp=share_link"",""สุราษฎร์ธานี!I439"")"),220)</f>
        <v>220</v>
      </c>
      <c r="J439" s="583">
        <f ca="1">IFERROR(__xludf.DUMMYFUNCTION("IMPORTRANGE(""https://docs.google.com/spreadsheets/d/1kC41EOXpGBFOW658Fs3oD8beYlym0-zO54WY-2Qnp9I/edit?usp=share_link"",""กระบี่!J439"")
+IMPORTRANGE(""https://docs.google.com/spreadsheets/d/1FbzMZY_f3MDiEuK7RpCQKrilJ_kpX0Wm7QBZ1L7EjIU/edit?usp=share_link"&amp;""",""ชุมพร!J439"")+IMPORTRANGE(""https://docs.google.com/spreadsheets/d/1v5sN-00LrXuhBxw4dkh2GrG_z4l5oAqOdJRBCsUyMaM/edit?usp=share_link"",""ตรัง!J439"")+IMPORTRANGE(""https://docs.google.com/spreadsheets/d/1T5rRTzFc79aSIvqnzkZNvwPstq829QYz_xALlO1Z0s8/edi"&amp;"t?usp=share_link"",""นครศรีธรรมราช!J439"")+IMPORTRANGE(""https://docs.google.com/spreadsheets/d/1BeghqumK0IvCmRd2QOy6_afsZq7ZtAGrSnVJy2u7WmY/edit?usp=share_link"",""นราธิวาส!J439"")+IMPORTRANGE(""https://docs.google.com/spreadsheets/d/1IwnW3-jjRf74MCLW-6P"&amp;"iFwMUffRQXZwZA7YM609NmRc/edit?usp=share_link"",""ปัตตานี!J439"")+IMPORTRANGE(""https://docs.google.com/spreadsheets/d/1vl4QWbWdFruual5o_wdo6ZSqXZ_it806oja4CctTLKs/edit?usp=share_link"",""พังงา!J439"")+IMPORTRANGE(""https://docs.google.com/spreadsheets/d/1"&amp;"b6QssHQp2FoAPSMKHOy273KNzAomaIKhtdlvuZ_zDNE/edit?usp=share_link"",""พัทลุง!J439"")+IMPORTRANGE(""https://docs.google.com/spreadsheets/d/1o7UZe4_OqlqtLDHrj01Z2YFRSZDf1DMy1n3XViHaxRc/edit?usp=share_link"",""ภูเก็ต!J439"")+IMPORTRANGE(""https://docs.google.c"&amp;"om/spreadsheets/d/1ctPm1vUzcUCPuOj9-eoHUD85PqINFqUB0TjdSWmR5-c/edit?usp=share_link"",""ยะลา!J439"")+IMPORTRANGE(""https://docs.google.com/spreadsheets/d/1YiDIE7Klmt8osgdapRqYWNr7iPGFSsiJqq46S7PYRE0/edit?usp=share_link"",""ระนอง!J439"")+IMPORTRANGE(""https"&amp;"://docs.google.com/spreadsheets/d/16o_4B-V7AWw_6E93bSpXj_XxVv1oVQctk-B6z1dNEWU/edit?usp=share_link"",""สงขลา!J439"")+IMPORTRANGE(""https://docs.google.com/spreadsheets/d/16cywr71Fj4fA5OGRHsZh30ZG2gwJhMAQv69oVBzYHv0/edit?usp=share_link"",""สตูล!J439"")+IMP"&amp;"ORTRANGE(""https://docs.google.com/spreadsheets/d/1vO9Sws6kMtrVtyvrAJptINXjK8TFBoX9xLYOVK_C8bQ/edit?usp=share_link"",""สุราษฎร์ธานี!J439"")"),220)</f>
        <v>220</v>
      </c>
      <c r="K439" s="498">
        <f t="shared" ca="1" si="225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IFERROR(__xludf.DUMMYFUNCTION("IMPORTRANGE(""https://docs.google.com/spreadsheets/d/1kC41EOXpGBFOW658Fs3oD8beYlym0-zO54WY-2Qnp9I/edit?usp=share_link"",""กระบี่!I440"")
+IMPORTRANGE(""https://docs.google.com/spreadsheets/d/1FbzMZY_f3MDiEuK7RpCQKrilJ_kpX0Wm7QBZ1L7EjIU/edit?usp=share_link"&amp;""",""ชุมพร!I440"")+IMPORTRANGE(""https://docs.google.com/spreadsheets/d/1v5sN-00LrXuhBxw4dkh2GrG_z4l5oAqOdJRBCsUyMaM/edit?usp=share_link"",""ตรัง!I440"")+IMPORTRANGE(""https://docs.google.com/spreadsheets/d/1T5rRTzFc79aSIvqnzkZNvwPstq829QYz_xALlO1Z0s8/edi"&amp;"t?usp=share_link"",""นครศรีธรรมราช!I440"")+IMPORTRANGE(""https://docs.google.com/spreadsheets/d/1BeghqumK0IvCmRd2QOy6_afsZq7ZtAGrSnVJy2u7WmY/edit?usp=share_link"",""นราธิวาส!I440"")+IMPORTRANGE(""https://docs.google.com/spreadsheets/d/1IwnW3-jjRf74MCLW-6P"&amp;"iFwMUffRQXZwZA7YM609NmRc/edit?usp=share_link"",""ปัตตานี!I440"")+IMPORTRANGE(""https://docs.google.com/spreadsheets/d/1vl4QWbWdFruual5o_wdo6ZSqXZ_it806oja4CctTLKs/edit?usp=share_link"",""พังงา!I440"")+IMPORTRANGE(""https://docs.google.com/spreadsheets/d/1"&amp;"b6QssHQp2FoAPSMKHOy273KNzAomaIKhtdlvuZ_zDNE/edit?usp=share_link"",""พัทลุง!I440"")+IMPORTRANGE(""https://docs.google.com/spreadsheets/d/1o7UZe4_OqlqtLDHrj01Z2YFRSZDf1DMy1n3XViHaxRc/edit?usp=share_link"",""ภูเก็ต!I440"")+IMPORTRANGE(""https://docs.google.c"&amp;"om/spreadsheets/d/1ctPm1vUzcUCPuOj9-eoHUD85PqINFqUB0TjdSWmR5-c/edit?usp=share_link"",""ยะลา!I440"")+IMPORTRANGE(""https://docs.google.com/spreadsheets/d/1YiDIE7Klmt8osgdapRqYWNr7iPGFSsiJqq46S7PYRE0/edit?usp=share_link"",""ระนอง!I440"")+IMPORTRANGE(""https"&amp;"://docs.google.com/spreadsheets/d/16o_4B-V7AWw_6E93bSpXj_XxVv1oVQctk-B6z1dNEWU/edit?usp=share_link"",""สงขลา!I440"")+IMPORTRANGE(""https://docs.google.com/spreadsheets/d/16cywr71Fj4fA5OGRHsZh30ZG2gwJhMAQv69oVBzYHv0/edit?usp=share_link"",""สตูล!I440"")+IMP"&amp;"ORTRANGE(""https://docs.google.com/spreadsheets/d/1vO9Sws6kMtrVtyvrAJptINXjK8TFBoX9xLYOVK_C8bQ/edit?usp=share_link"",""สุราษฎร์ธานี!I440"")"),14)</f>
        <v>14</v>
      </c>
      <c r="J440" s="183">
        <f ca="1">IFERROR(__xludf.DUMMYFUNCTION("IMPORTRANGE(""https://docs.google.com/spreadsheets/d/1kC41EOXpGBFOW658Fs3oD8beYlym0-zO54WY-2Qnp9I/edit?usp=share_link"",""กระบี่!J440"")
+IMPORTRANGE(""https://docs.google.com/spreadsheets/d/1FbzMZY_f3MDiEuK7RpCQKrilJ_kpX0Wm7QBZ1L7EjIU/edit?usp=share_link"&amp;""",""ชุมพร!J440"")+IMPORTRANGE(""https://docs.google.com/spreadsheets/d/1v5sN-00LrXuhBxw4dkh2GrG_z4l5oAqOdJRBCsUyMaM/edit?usp=share_link"",""ตรัง!J440"")+IMPORTRANGE(""https://docs.google.com/spreadsheets/d/1T5rRTzFc79aSIvqnzkZNvwPstq829QYz_xALlO1Z0s8/edi"&amp;"t?usp=share_link"",""นครศรีธรรมราช!J440"")+IMPORTRANGE(""https://docs.google.com/spreadsheets/d/1BeghqumK0IvCmRd2QOy6_afsZq7ZtAGrSnVJy2u7WmY/edit?usp=share_link"",""นราธิวาส!J440"")+IMPORTRANGE(""https://docs.google.com/spreadsheets/d/1IwnW3-jjRf74MCLW-6P"&amp;"iFwMUffRQXZwZA7YM609NmRc/edit?usp=share_link"",""ปัตตานี!J440"")+IMPORTRANGE(""https://docs.google.com/spreadsheets/d/1vl4QWbWdFruual5o_wdo6ZSqXZ_it806oja4CctTLKs/edit?usp=share_link"",""พังงา!J440"")+IMPORTRANGE(""https://docs.google.com/spreadsheets/d/1"&amp;"b6QssHQp2FoAPSMKHOy273KNzAomaIKhtdlvuZ_zDNE/edit?usp=share_link"",""พัทลุง!J440"")+IMPORTRANGE(""https://docs.google.com/spreadsheets/d/1o7UZe4_OqlqtLDHrj01Z2YFRSZDf1DMy1n3XViHaxRc/edit?usp=share_link"",""ภูเก็ต!J440"")+IMPORTRANGE(""https://docs.google.c"&amp;"om/spreadsheets/d/1ctPm1vUzcUCPuOj9-eoHUD85PqINFqUB0TjdSWmR5-c/edit?usp=share_link"",""ยะลา!J440"")+IMPORTRANGE(""https://docs.google.com/spreadsheets/d/1YiDIE7Klmt8osgdapRqYWNr7iPGFSsiJqq46S7PYRE0/edit?usp=share_link"",""ระนอง!J440"")+IMPORTRANGE(""https"&amp;"://docs.google.com/spreadsheets/d/16o_4B-V7AWw_6E93bSpXj_XxVv1oVQctk-B6z1dNEWU/edit?usp=share_link"",""สงขลา!J440"")+IMPORTRANGE(""https://docs.google.com/spreadsheets/d/16cywr71Fj4fA5OGRHsZh30ZG2gwJhMAQv69oVBzYHv0/edit?usp=share_link"",""สตูล!J440"")+IMP"&amp;"ORTRANGE(""https://docs.google.com/spreadsheets/d/1vO9Sws6kMtrVtyvrAJptINXjK8TFBoX9xLYOVK_C8bQ/edit?usp=share_link"",""สุราษฎร์ธานี!J440"")"),13)</f>
        <v>13</v>
      </c>
      <c r="K440" s="38">
        <f t="shared" ca="1" si="225"/>
        <v>92.857142857142861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IFERROR(__xludf.DUMMYFUNCTION("IMPORTRANGE(""https://docs.google.com/spreadsheets/d/1kC41EOXpGBFOW658Fs3oD8beYlym0-zO54WY-2Qnp9I/edit?usp=share_link"",""กระบี่!I441"")
+IMPORTRANGE(""https://docs.google.com/spreadsheets/d/1FbzMZY_f3MDiEuK7RpCQKrilJ_kpX0Wm7QBZ1L7EjIU/edit?usp=share_link"&amp;""",""ชุมพร!I441"")+IMPORTRANGE(""https://docs.google.com/spreadsheets/d/1v5sN-00LrXuhBxw4dkh2GrG_z4l5oAqOdJRBCsUyMaM/edit?usp=share_link"",""ตรัง!I441"")+IMPORTRANGE(""https://docs.google.com/spreadsheets/d/1T5rRTzFc79aSIvqnzkZNvwPstq829QYz_xALlO1Z0s8/edi"&amp;"t?usp=share_link"",""นครศรีธรรมราช!I441"")+IMPORTRANGE(""https://docs.google.com/spreadsheets/d/1BeghqumK0IvCmRd2QOy6_afsZq7ZtAGrSnVJy2u7WmY/edit?usp=share_link"",""นราธิวาส!I441"")+IMPORTRANGE(""https://docs.google.com/spreadsheets/d/1IwnW3-jjRf74MCLW-6P"&amp;"iFwMUffRQXZwZA7YM609NmRc/edit?usp=share_link"",""ปัตตานี!I441"")+IMPORTRANGE(""https://docs.google.com/spreadsheets/d/1vl4QWbWdFruual5o_wdo6ZSqXZ_it806oja4CctTLKs/edit?usp=share_link"",""พังงา!I441"")+IMPORTRANGE(""https://docs.google.com/spreadsheets/d/1"&amp;"b6QssHQp2FoAPSMKHOy273KNzAomaIKhtdlvuZ_zDNE/edit?usp=share_link"",""พัทลุง!I441"")+IMPORTRANGE(""https://docs.google.com/spreadsheets/d/1o7UZe4_OqlqtLDHrj01Z2YFRSZDf1DMy1n3XViHaxRc/edit?usp=share_link"",""ภูเก็ต!I441"")+IMPORTRANGE(""https://docs.google.c"&amp;"om/spreadsheets/d/1ctPm1vUzcUCPuOj9-eoHUD85PqINFqUB0TjdSWmR5-c/edit?usp=share_link"",""ยะลา!I441"")+IMPORTRANGE(""https://docs.google.com/spreadsheets/d/1YiDIE7Klmt8osgdapRqYWNr7iPGFSsiJqq46S7PYRE0/edit?usp=share_link"",""ระนอง!I441"")+IMPORTRANGE(""https"&amp;"://docs.google.com/spreadsheets/d/16o_4B-V7AWw_6E93bSpXj_XxVv1oVQctk-B6z1dNEWU/edit?usp=share_link"",""สงขลา!I441"")+IMPORTRANGE(""https://docs.google.com/spreadsheets/d/16cywr71Fj4fA5OGRHsZh30ZG2gwJhMAQv69oVBzYHv0/edit?usp=share_link"",""สตูล!I441"")+IMP"&amp;"ORTRANGE(""https://docs.google.com/spreadsheets/d/1vO9Sws6kMtrVtyvrAJptINXjK8TFBoX9xLYOVK_C8bQ/edit?usp=share_link"",""สุราษฎร์ธานี!I441"")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226">I460</f>
        <v>255</v>
      </c>
      <c r="J442" s="589">
        <f t="shared" ca="1" si="226"/>
        <v>255</v>
      </c>
      <c r="K442" s="590">
        <f t="shared" ca="1" si="225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20.25" customHeight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227">I462</f>
        <v>820</v>
      </c>
      <c r="J443" s="569">
        <f t="shared" ca="1" si="227"/>
        <v>820</v>
      </c>
      <c r="K443" s="570">
        <f t="shared" ca="1" si="225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20.25" customHeight="1">
      <c r="A444" s="596"/>
      <c r="B444" s="575"/>
      <c r="C444" s="575" t="s">
        <v>16</v>
      </c>
      <c r="D444" s="848" t="s">
        <v>17</v>
      </c>
      <c r="E444" s="842"/>
      <c r="F444" s="842"/>
      <c r="G444" s="189"/>
      <c r="H444" s="597" t="s">
        <v>12</v>
      </c>
      <c r="I444" s="37"/>
      <c r="J444" s="37"/>
      <c r="K444" s="38"/>
      <c r="L444" s="195">
        <f t="shared" ref="L444:N444" ca="1" si="228">L445+L446</f>
        <v>2091160</v>
      </c>
      <c r="M444" s="195">
        <f t="shared" ca="1" si="228"/>
        <v>2091160</v>
      </c>
      <c r="N444" s="195">
        <f t="shared" ca="1" si="228"/>
        <v>1733359.2999999991</v>
      </c>
      <c r="O444" s="195">
        <f t="shared" ref="O444:O449" ca="1" si="229">IF(L444&gt;0,N444*100/L444,0)</f>
        <v>82.889845827196339</v>
      </c>
      <c r="P444" s="195">
        <f t="shared" ref="P444:P449" ca="1" si="230">IF(M444&gt;0,N444*100/M444,0)</f>
        <v>82.889845827196339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20.25" hidden="1" customHeight="1">
      <c r="A445" s="598"/>
      <c r="B445" s="599"/>
      <c r="C445" s="599"/>
      <c r="D445" s="600"/>
      <c r="E445" s="601" t="s">
        <v>185</v>
      </c>
      <c r="F445" s="599"/>
      <c r="G445" s="602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20.25" hidden="1" customHeight="1">
      <c r="A446" s="598"/>
      <c r="B446" s="604"/>
      <c r="C446" s="599"/>
      <c r="D446" s="600"/>
      <c r="E446" s="601" t="s">
        <v>186</v>
      </c>
      <c r="F446" s="599"/>
      <c r="G446" s="602"/>
      <c r="H446" s="165" t="s">
        <v>12</v>
      </c>
      <c r="I446" s="44"/>
      <c r="J446" s="44"/>
      <c r="K446" s="45"/>
      <c r="L446" s="45">
        <f t="shared" ref="L446:N446" ca="1" si="232">L449+L456</f>
        <v>2091160</v>
      </c>
      <c r="M446" s="45">
        <f t="shared" ca="1" si="232"/>
        <v>2091160</v>
      </c>
      <c r="N446" s="45">
        <f t="shared" ca="1" si="232"/>
        <v>1733359.2999999991</v>
      </c>
      <c r="O446" s="45">
        <f t="shared" ca="1" si="229"/>
        <v>82.889845827196339</v>
      </c>
      <c r="P446" s="45">
        <f t="shared" ca="1" si="230"/>
        <v>82.889845827196339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20.25" customHeight="1">
      <c r="A447" s="596"/>
      <c r="B447" s="574"/>
      <c r="C447" s="575"/>
      <c r="D447" s="605" t="s">
        <v>20</v>
      </c>
      <c r="E447" s="575"/>
      <c r="F447" s="575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2091160</v>
      </c>
      <c r="M447" s="38">
        <f t="shared" ca="1" si="233"/>
        <v>2091160</v>
      </c>
      <c r="N447" s="38">
        <f t="shared" ca="1" si="233"/>
        <v>1733359.2999999991</v>
      </c>
      <c r="O447" s="38">
        <f t="shared" ca="1" si="229"/>
        <v>82.889845827196339</v>
      </c>
      <c r="P447" s="38">
        <f t="shared" ca="1" si="230"/>
        <v>82.889845827196339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20.25" hidden="1" customHeight="1">
      <c r="A448" s="598"/>
      <c r="B448" s="604"/>
      <c r="C448" s="599"/>
      <c r="D448" s="600"/>
      <c r="E448" s="601" t="s">
        <v>185</v>
      </c>
      <c r="F448" s="599"/>
      <c r="G448" s="602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20.25" hidden="1" customHeight="1">
      <c r="A449" s="598"/>
      <c r="B449" s="604"/>
      <c r="C449" s="599"/>
      <c r="D449" s="600"/>
      <c r="E449" s="601" t="s">
        <v>186</v>
      </c>
      <c r="F449" s="599"/>
      <c r="G449" s="602"/>
      <c r="H449" s="165" t="s">
        <v>12</v>
      </c>
      <c r="I449" s="44"/>
      <c r="J449" s="44"/>
      <c r="K449" s="45"/>
      <c r="L449" s="45">
        <f ca="1">IFERROR(__xludf.DUMMYFUNCTION("IMPORTRANGE(""https://docs.google.com/spreadsheets/d/1kC41EOXpGBFOW658Fs3oD8beYlym0-zO54WY-2Qnp9I/edit?usp=share_link"",""กระบี่!L449"")
+IMPORTRANGE(""https://docs.google.com/spreadsheets/d/1FbzMZY_f3MDiEuK7RpCQKrilJ_kpX0Wm7QBZ1L7EjIU/edit?usp=share_link"&amp;""",""ชุมพร!L449"")+IMPORTRANGE(""https://docs.google.com/spreadsheets/d/1v5sN-00LrXuhBxw4dkh2GrG_z4l5oAqOdJRBCsUyMaM/edit?usp=share_link"",""ตรัง!L449"")+IMPORTRANGE(""https://docs.google.com/spreadsheets/d/1T5rRTzFc79aSIvqnzkZNvwPstq829QYz_xALlO1Z0s8/edi"&amp;"t?usp=share_link"",""นครศรีธรรมราช!L449"")+IMPORTRANGE(""https://docs.google.com/spreadsheets/d/1BeghqumK0IvCmRd2QOy6_afsZq7ZtAGrSnVJy2u7WmY/edit?usp=share_link"",""นราธิวาส!L449"")+IMPORTRANGE(""https://docs.google.com/spreadsheets/d/1IwnW3-jjRf74MCLW-6P"&amp;"iFwMUffRQXZwZA7YM609NmRc/edit?usp=share_link"",""ปัตตานี!L449"")+IMPORTRANGE(""https://docs.google.com/spreadsheets/d/1vl4QWbWdFruual5o_wdo6ZSqXZ_it806oja4CctTLKs/edit?usp=share_link"",""พังงา!L449"")+IMPORTRANGE(""https://docs.google.com/spreadsheets/d/1"&amp;"b6QssHQp2FoAPSMKHOy273KNzAomaIKhtdlvuZ_zDNE/edit?usp=share_link"",""พัทลุง!L449"")+IMPORTRANGE(""https://docs.google.com/spreadsheets/d/1o7UZe4_OqlqtLDHrj01Z2YFRSZDf1DMy1n3XViHaxRc/edit?usp=share_link"",""ภูเก็ต!L449"")+IMPORTRANGE(""https://docs.google.c"&amp;"om/spreadsheets/d/1ctPm1vUzcUCPuOj9-eoHUD85PqINFqUB0TjdSWmR5-c/edit?usp=share_link"",""ยะลา!L449"")+IMPORTRANGE(""https://docs.google.com/spreadsheets/d/1YiDIE7Klmt8osgdapRqYWNr7iPGFSsiJqq46S7PYRE0/edit?usp=share_link"",""ระนอง!L449"")+IMPORTRANGE(""https"&amp;"://docs.google.com/spreadsheets/d/16o_4B-V7AWw_6E93bSpXj_XxVv1oVQctk-B6z1dNEWU/edit?usp=share_link"",""สงขลา!L449"")+IMPORTRANGE(""https://docs.google.com/spreadsheets/d/16cywr71Fj4fA5OGRHsZh30ZG2gwJhMAQv69oVBzYHv0/edit?usp=share_link"",""สตูล!L449"")+IMP"&amp;"ORTRANGE(""https://docs.google.com/spreadsheets/d/1vO9Sws6kMtrVtyvrAJptINXjK8TFBoX9xLYOVK_C8bQ/edit?usp=share_link"",""สุราษฎร์ธานี!L449"")"),2091160)</f>
        <v>2091160</v>
      </c>
      <c r="M449" s="93">
        <f ca="1">IFERROR(__xludf.DUMMYFUNCTION("IMPORTRANGE(""https://docs.google.com/spreadsheets/d/1kC41EOXpGBFOW658Fs3oD8beYlym0-zO54WY-2Qnp9I/edit?usp=share_link"",""กระบี่!M449"")
+IMPORTRANGE(""https://docs.google.com/spreadsheets/d/1FbzMZY_f3MDiEuK7RpCQKrilJ_kpX0Wm7QBZ1L7EjIU/edit?usp=share_link"&amp;""",""ชุมพร!M449"")+IMPORTRANGE(""https://docs.google.com/spreadsheets/d/1v5sN-00LrXuhBxw4dkh2GrG_z4l5oAqOdJRBCsUyMaM/edit?usp=share_link"",""ตรัง!M449"")+IMPORTRANGE(""https://docs.google.com/spreadsheets/d/1T5rRTzFc79aSIvqnzkZNvwPstq829QYz_xALlO1Z0s8/edi"&amp;"t?usp=share_link"",""นครศรีธรรมราช!M449"")+IMPORTRANGE(""https://docs.google.com/spreadsheets/d/1BeghqumK0IvCmRd2QOy6_afsZq7ZtAGrSnVJy2u7WmY/edit?usp=share_link"",""นราธิวาส!M449"")+IMPORTRANGE(""https://docs.google.com/spreadsheets/d/1IwnW3-jjRf74MCLW-6P"&amp;"iFwMUffRQXZwZA7YM609NmRc/edit?usp=share_link"",""ปัตตานี!M449"")+IMPORTRANGE(""https://docs.google.com/spreadsheets/d/1vl4QWbWdFruual5o_wdo6ZSqXZ_it806oja4CctTLKs/edit?usp=share_link"",""พังงา!M449"")+IMPORTRANGE(""https://docs.google.com/spreadsheets/d/1"&amp;"b6QssHQp2FoAPSMKHOy273KNzAomaIKhtdlvuZ_zDNE/edit?usp=share_link"",""พัทลุง!M449"")+IMPORTRANGE(""https://docs.google.com/spreadsheets/d/1o7UZe4_OqlqtLDHrj01Z2YFRSZDf1DMy1n3XViHaxRc/edit?usp=share_link"",""ภูเก็ต!M449"")+IMPORTRANGE(""https://docs.google.c"&amp;"om/spreadsheets/d/1ctPm1vUzcUCPuOj9-eoHUD85PqINFqUB0TjdSWmR5-c/edit?usp=share_link"",""ยะลา!M449"")+IMPORTRANGE(""https://docs.google.com/spreadsheets/d/1YiDIE7Klmt8osgdapRqYWNr7iPGFSsiJqq46S7PYRE0/edit?usp=share_link"",""ระนอง!M449"")+IMPORTRANGE(""https"&amp;"://docs.google.com/spreadsheets/d/16o_4B-V7AWw_6E93bSpXj_XxVv1oVQctk-B6z1dNEWU/edit?usp=share_link"",""สงขลา!M449"")+IMPORTRANGE(""https://docs.google.com/spreadsheets/d/16cywr71Fj4fA5OGRHsZh30ZG2gwJhMAQv69oVBzYHv0/edit?usp=share_link"",""สตูล!M449"")+IMP"&amp;"ORTRANGE(""https://docs.google.com/spreadsheets/d/1vO9Sws6kMtrVtyvrAJptINXjK8TFBoX9xLYOVK_C8bQ/edit?usp=share_link"",""สุราษฎร์ธานี!M449"")"),2091160)</f>
        <v>2091160</v>
      </c>
      <c r="N449" s="45">
        <f ca="1">N450+N451+N452+N453</f>
        <v>1733359.2999999991</v>
      </c>
      <c r="O449" s="45">
        <f t="shared" ca="1" si="229"/>
        <v>82.889845827196339</v>
      </c>
      <c r="P449" s="45">
        <f t="shared" ca="1" si="230"/>
        <v>82.889845827196339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20.25" customHeight="1">
      <c r="A450" s="573"/>
      <c r="B450" s="574"/>
      <c r="C450" s="575"/>
      <c r="D450" s="575"/>
      <c r="E450" s="575"/>
      <c r="F450" s="576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IFERROR(__xludf.DUMMYFUNCTION("IMPORTRANGE(""https://docs.google.com/spreadsheets/d/1kC41EOXpGBFOW658Fs3oD8beYlym0-zO54WY-2Qnp9I/edit?usp=share_link"",""กระบี่!N450"")
+IMPORTRANGE(""https://docs.google.com/spreadsheets/d/1FbzMZY_f3MDiEuK7RpCQKrilJ_kpX0Wm7QBZ1L7EjIU/edit?usp=share_link"&amp;""",""ชุมพร!N450"")+IMPORTRANGE(""https://docs.google.com/spreadsheets/d/1v5sN-00LrXuhBxw4dkh2GrG_z4l5oAqOdJRBCsUyMaM/edit?usp=share_link"",""ตรัง!N450"")+IMPORTRANGE(""https://docs.google.com/spreadsheets/d/1T5rRTzFc79aSIvqnzkZNvwPstq829QYz_xALlO1Z0s8/edi"&amp;"t?usp=share_link"",""นครศรีธรรมราช!N450"")+IMPORTRANGE(""https://docs.google.com/spreadsheets/d/1BeghqumK0IvCmRd2QOy6_afsZq7ZtAGrSnVJy2u7WmY/edit?usp=share_link"",""นราธิวาส!N450"")+IMPORTRANGE(""https://docs.google.com/spreadsheets/d/1IwnW3-jjRf74MCLW-6P"&amp;"iFwMUffRQXZwZA7YM609NmRc/edit?usp=share_link"",""ปัตตานี!N450"")+IMPORTRANGE(""https://docs.google.com/spreadsheets/d/1vl4QWbWdFruual5o_wdo6ZSqXZ_it806oja4CctTLKs/edit?usp=share_link"",""พังงา!N450"")+IMPORTRANGE(""https://docs.google.com/spreadsheets/d/1"&amp;"b6QssHQp2FoAPSMKHOy273KNzAomaIKhtdlvuZ_zDNE/edit?usp=share_link"",""พัทลุง!N450"")+IMPORTRANGE(""https://docs.google.com/spreadsheets/d/1o7UZe4_OqlqtLDHrj01Z2YFRSZDf1DMy1n3XViHaxRc/edit?usp=share_link"",""ภูเก็ต!N450"")+IMPORTRANGE(""https://docs.google.c"&amp;"om/spreadsheets/d/1ctPm1vUzcUCPuOj9-eoHUD85PqINFqUB0TjdSWmR5-c/edit?usp=share_link"",""ยะลา!N450"")+IMPORTRANGE(""https://docs.google.com/spreadsheets/d/1YiDIE7Klmt8osgdapRqYWNr7iPGFSsiJqq46S7PYRE0/edit?usp=share_link"",""ระนอง!N450"")+IMPORTRANGE(""https"&amp;"://docs.google.com/spreadsheets/d/16o_4B-V7AWw_6E93bSpXj_XxVv1oVQctk-B6z1dNEWU/edit?usp=share_link"",""สงขลา!N450"")+IMPORTRANGE(""https://docs.google.com/spreadsheets/d/16cywr71Fj4fA5OGRHsZh30ZG2gwJhMAQv69oVBzYHv0/edit?usp=share_link"",""สตูล!N450"")+IMP"&amp;"ORTRANGE(""https://docs.google.com/spreadsheets/d/1vO9Sws6kMtrVtyvrAJptINXjK8TFBoX9xLYOVK_C8bQ/edit?usp=share_link"",""สุราษฎร์ธานี!N450"")"),338953.6)</f>
        <v>338953.6</v>
      </c>
      <c r="O450" s="38"/>
      <c r="P450" s="3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20.25" customHeight="1">
      <c r="A451" s="573"/>
      <c r="B451" s="574"/>
      <c r="C451" s="575"/>
      <c r="D451" s="575"/>
      <c r="E451" s="575"/>
      <c r="F451" s="576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IFERROR(__xludf.DUMMYFUNCTION("IMPORTRANGE(""https://docs.google.com/spreadsheets/d/1kC41EOXpGBFOW658Fs3oD8beYlym0-zO54WY-2Qnp9I/edit?usp=share_link"",""กระบี่!N451"")
+IMPORTRANGE(""https://docs.google.com/spreadsheets/d/1FbzMZY_f3MDiEuK7RpCQKrilJ_kpX0Wm7QBZ1L7EjIU/edit?usp=share_link"&amp;""",""ชุมพร!N451"")+IMPORTRANGE(""https://docs.google.com/spreadsheets/d/1v5sN-00LrXuhBxw4dkh2GrG_z4l5oAqOdJRBCsUyMaM/edit?usp=share_link"",""ตรัง!N451"")+IMPORTRANGE(""https://docs.google.com/spreadsheets/d/1T5rRTzFc79aSIvqnzkZNvwPstq829QYz_xALlO1Z0s8/edi"&amp;"t?usp=share_link"",""นครศรีธรรมราช!N451"")+IMPORTRANGE(""https://docs.google.com/spreadsheets/d/1BeghqumK0IvCmRd2QOy6_afsZq7ZtAGrSnVJy2u7WmY/edit?usp=share_link"",""นราธิวาส!N451"")+IMPORTRANGE(""https://docs.google.com/spreadsheets/d/1IwnW3-jjRf74MCLW-6P"&amp;"iFwMUffRQXZwZA7YM609NmRc/edit?usp=share_link"",""ปัตตานี!N451"")+IMPORTRANGE(""https://docs.google.com/spreadsheets/d/1vl4QWbWdFruual5o_wdo6ZSqXZ_it806oja4CctTLKs/edit?usp=share_link"",""พังงา!N451"")+IMPORTRANGE(""https://docs.google.com/spreadsheets/d/1"&amp;"b6QssHQp2FoAPSMKHOy273KNzAomaIKhtdlvuZ_zDNE/edit?usp=share_link"",""พัทลุง!N451"")+IMPORTRANGE(""https://docs.google.com/spreadsheets/d/1o7UZe4_OqlqtLDHrj01Z2YFRSZDf1DMy1n3XViHaxRc/edit?usp=share_link"",""ภูเก็ต!N451"")+IMPORTRANGE(""https://docs.google.c"&amp;"om/spreadsheets/d/1ctPm1vUzcUCPuOj9-eoHUD85PqINFqUB0TjdSWmR5-c/edit?usp=share_link"",""ยะลา!N451"")+IMPORTRANGE(""https://docs.google.com/spreadsheets/d/1YiDIE7Klmt8osgdapRqYWNr7iPGFSsiJqq46S7PYRE0/edit?usp=share_link"",""ระนอง!N451"")+IMPORTRANGE(""https"&amp;"://docs.google.com/spreadsheets/d/16o_4B-V7AWw_6E93bSpXj_XxVv1oVQctk-B6z1dNEWU/edit?usp=share_link"",""สงขลา!N451"")+IMPORTRANGE(""https://docs.google.com/spreadsheets/d/16cywr71Fj4fA5OGRHsZh30ZG2gwJhMAQv69oVBzYHv0/edit?usp=share_link"",""สตูล!N451"")+IMP"&amp;"ORTRANGE(""https://docs.google.com/spreadsheets/d/1vO9Sws6kMtrVtyvrAJptINXjK8TFBoX9xLYOVK_C8bQ/edit?usp=share_link"",""สุราษฎร์ธานี!N451"")"),857295)</f>
        <v>857295</v>
      </c>
      <c r="O451" s="38"/>
      <c r="P451" s="3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20.25" customHeight="1">
      <c r="A452" s="573"/>
      <c r="B452" s="574"/>
      <c r="C452" s="574"/>
      <c r="D452" s="574"/>
      <c r="E452" s="574"/>
      <c r="F452" s="576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IFERROR(__xludf.DUMMYFUNCTION("IMPORTRANGE(""https://docs.google.com/spreadsheets/d/1kC41EOXpGBFOW658Fs3oD8beYlym0-zO54WY-2Qnp9I/edit?usp=share_link"",""กระบี่!N452"")
+IMPORTRANGE(""https://docs.google.com/spreadsheets/d/1FbzMZY_f3MDiEuK7RpCQKrilJ_kpX0Wm7QBZ1L7EjIU/edit?usp=share_link"&amp;""",""ชุมพร!N452"")+IMPORTRANGE(""https://docs.google.com/spreadsheets/d/1v5sN-00LrXuhBxw4dkh2GrG_z4l5oAqOdJRBCsUyMaM/edit?usp=share_link"",""ตรัง!N452"")+IMPORTRANGE(""https://docs.google.com/spreadsheets/d/1T5rRTzFc79aSIvqnzkZNvwPstq829QYz_xALlO1Z0s8/edi"&amp;"t?usp=share_link"",""นครศรีธรรมราช!N452"")+IMPORTRANGE(""https://docs.google.com/spreadsheets/d/1BeghqumK0IvCmRd2QOy6_afsZq7ZtAGrSnVJy2u7WmY/edit?usp=share_link"",""นราธิวาส!N452"")+IMPORTRANGE(""https://docs.google.com/spreadsheets/d/1IwnW3-jjRf74MCLW-6P"&amp;"iFwMUffRQXZwZA7YM609NmRc/edit?usp=share_link"",""ปัตตานี!N452"")+IMPORTRANGE(""https://docs.google.com/spreadsheets/d/1vl4QWbWdFruual5o_wdo6ZSqXZ_it806oja4CctTLKs/edit?usp=share_link"",""พังงา!N452"")+IMPORTRANGE(""https://docs.google.com/spreadsheets/d/1"&amp;"b6QssHQp2FoAPSMKHOy273KNzAomaIKhtdlvuZ_zDNE/edit?usp=share_link"",""พัทลุง!N452"")+IMPORTRANGE(""https://docs.google.com/spreadsheets/d/1o7UZe4_OqlqtLDHrj01Z2YFRSZDf1DMy1n3XViHaxRc/edit?usp=share_link"",""ภูเก็ต!N452"")+IMPORTRANGE(""https://docs.google.c"&amp;"om/spreadsheets/d/1ctPm1vUzcUCPuOj9-eoHUD85PqINFqUB0TjdSWmR5-c/edit?usp=share_link"",""ยะลา!N452"")+IMPORTRANGE(""https://docs.google.com/spreadsheets/d/1YiDIE7Klmt8osgdapRqYWNr7iPGFSsiJqq46S7PYRE0/edit?usp=share_link"",""ระนอง!N452"")+IMPORTRANGE(""https"&amp;"://docs.google.com/spreadsheets/d/16o_4B-V7AWw_6E93bSpXj_XxVv1oVQctk-B6z1dNEWU/edit?usp=share_link"",""สงขลา!N452"")+IMPORTRANGE(""https://docs.google.com/spreadsheets/d/16cywr71Fj4fA5OGRHsZh30ZG2gwJhMAQv69oVBzYHv0/edit?usp=share_link"",""สตูล!N452"")+IMP"&amp;"ORTRANGE(""https://docs.google.com/spreadsheets/d/1vO9Sws6kMtrVtyvrAJptINXjK8TFBoX9xLYOVK_C8bQ/edit?usp=share_link"",""สุราษฎร์ธานี!N452"")"),390964.22)</f>
        <v>390964.22</v>
      </c>
      <c r="O452" s="38"/>
      <c r="P452" s="3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20.25" customHeight="1">
      <c r="A453" s="573"/>
      <c r="B453" s="574"/>
      <c r="C453" s="574"/>
      <c r="D453" s="574"/>
      <c r="E453" s="574"/>
      <c r="F453" s="576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IFERROR(__xludf.DUMMYFUNCTION("IMPORTRANGE(""https://docs.google.com/spreadsheets/d/1kC41EOXpGBFOW658Fs3oD8beYlym0-zO54WY-2Qnp9I/edit?usp=share_link"",""กระบี่!N453"")
+IMPORTRANGE(""https://docs.google.com/spreadsheets/d/1FbzMZY_f3MDiEuK7RpCQKrilJ_kpX0Wm7QBZ1L7EjIU/edit?usp=share_link"&amp;""",""ชุมพร!N453"")+IMPORTRANGE(""https://docs.google.com/spreadsheets/d/1v5sN-00LrXuhBxw4dkh2GrG_z4l5oAqOdJRBCsUyMaM/edit?usp=share_link"",""ตรัง!N453"")+IMPORTRANGE(""https://docs.google.com/spreadsheets/d/1T5rRTzFc79aSIvqnzkZNvwPstq829QYz_xALlO1Z0s8/edi"&amp;"t?usp=share_link"",""นครศรีธรรมราช!N453"")+IMPORTRANGE(""https://docs.google.com/spreadsheets/d/1BeghqumK0IvCmRd2QOy6_afsZq7ZtAGrSnVJy2u7WmY/edit?usp=share_link"",""นราธิวาส!N453"")+IMPORTRANGE(""https://docs.google.com/spreadsheets/d/1IwnW3-jjRf74MCLW-6P"&amp;"iFwMUffRQXZwZA7YM609NmRc/edit?usp=share_link"",""ปัตตานี!N453"")+IMPORTRANGE(""https://docs.google.com/spreadsheets/d/1vl4QWbWdFruual5o_wdo6ZSqXZ_it806oja4CctTLKs/edit?usp=share_link"",""พังงา!N453"")+IMPORTRANGE(""https://docs.google.com/spreadsheets/d/1"&amp;"b6QssHQp2FoAPSMKHOy273KNzAomaIKhtdlvuZ_zDNE/edit?usp=share_link"",""พัทลุง!N453"")+IMPORTRANGE(""https://docs.google.com/spreadsheets/d/1o7UZe4_OqlqtLDHrj01Z2YFRSZDf1DMy1n3XViHaxRc/edit?usp=share_link"",""ภูเก็ต!N453"")+IMPORTRANGE(""https://docs.google.c"&amp;"om/spreadsheets/d/1ctPm1vUzcUCPuOj9-eoHUD85PqINFqUB0TjdSWmR5-c/edit?usp=share_link"",""ยะลา!N453"")+IMPORTRANGE(""https://docs.google.com/spreadsheets/d/1YiDIE7Klmt8osgdapRqYWNr7iPGFSsiJqq46S7PYRE0/edit?usp=share_link"",""ระนอง!N453"")+IMPORTRANGE(""https"&amp;"://docs.google.com/spreadsheets/d/16o_4B-V7AWw_6E93bSpXj_XxVv1oVQctk-B6z1dNEWU/edit?usp=share_link"",""สงขลา!N453"")+IMPORTRANGE(""https://docs.google.com/spreadsheets/d/16cywr71Fj4fA5OGRHsZh30ZG2gwJhMAQv69oVBzYHv0/edit?usp=share_link"",""สตูล!N453"")+IMP"&amp;"ORTRANGE(""https://docs.google.com/spreadsheets/d/1vO9Sws6kMtrVtyvrAJptINXjK8TFBoX9xLYOVK_C8bQ/edit?usp=share_link"",""สุราษฎร์ธานี!N453"")"),146146.479999999)</f>
        <v>146146.47999999899</v>
      </c>
      <c r="O453" s="38"/>
      <c r="P453" s="3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20.25" customHeight="1">
      <c r="A454" s="596"/>
      <c r="B454" s="574"/>
      <c r="C454" s="574"/>
      <c r="D454" s="605" t="s">
        <v>21</v>
      </c>
      <c r="E454" s="574"/>
      <c r="F454" s="575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20.25" hidden="1" customHeight="1">
      <c r="A455" s="598"/>
      <c r="B455" s="604"/>
      <c r="C455" s="604"/>
      <c r="D455" s="604"/>
      <c r="E455" s="606" t="s">
        <v>18</v>
      </c>
      <c r="F455" s="599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20.25" hidden="1" customHeight="1">
      <c r="A456" s="598"/>
      <c r="B456" s="604"/>
      <c r="C456" s="604"/>
      <c r="D456" s="604"/>
      <c r="E456" s="606" t="s">
        <v>19</v>
      </c>
      <c r="F456" s="599"/>
      <c r="G456" s="602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IFERROR(__xludf.DUMMYFUNCTION("IMPORTRANGE(""https://docs.google.com/spreadsheets/d/1kC41EOXpGBFOW658Fs3oD8beYlym0-zO54WY-2Qnp9I/edit?usp=share_link"",""กระบี่!L456"")
+IMPORTRANGE(""https://docs.google.com/spreadsheets/d/1FbzMZY_f3MDiEuK7RpCQKrilJ_kpX0Wm7QBZ1L7EjIU/edit?usp=share_link"&amp;""",""ชุมพร!L456"")+IMPORTRANGE(""https://docs.google.com/spreadsheets/d/1v5sN-00LrXuhBxw4dkh2GrG_z4l5oAqOdJRBCsUyMaM/edit?usp=share_link"",""ตรัง!L456"")+IMPORTRANGE(""https://docs.google.com/spreadsheets/d/1T5rRTzFc79aSIvqnzkZNvwPstq829QYz_xALlO1Z0s8/edi"&amp;"t?usp=share_link"",""นครศรีธรรมราช!L456"")+IMPORTRANGE(""https://docs.google.com/spreadsheets/d/1BeghqumK0IvCmRd2QOy6_afsZq7ZtAGrSnVJy2u7WmY/edit?usp=share_link"",""นราธิวาส!L456"")+IMPORTRANGE(""https://docs.google.com/spreadsheets/d/1IwnW3-jjRf74MCLW-6P"&amp;"iFwMUffRQXZwZA7YM609NmRc/edit?usp=share_link"",""ปัตตานี!L456"")+IMPORTRANGE(""https://docs.google.com/spreadsheets/d/1vl4QWbWdFruual5o_wdo6ZSqXZ_it806oja4CctTLKs/edit?usp=share_link"",""พังงา!L456"")+IMPORTRANGE(""https://docs.google.com/spreadsheets/d/1"&amp;"b6QssHQp2FoAPSMKHOy273KNzAomaIKhtdlvuZ_zDNE/edit?usp=share_link"",""พัทลุง!L456"")+IMPORTRANGE(""https://docs.google.com/spreadsheets/d/1o7UZe4_OqlqtLDHrj01Z2YFRSZDf1DMy1n3XViHaxRc/edit?usp=share_link"",""ภูเก็ต!L456"")+IMPORTRANGE(""https://docs.google.c"&amp;"om/spreadsheets/d/1ctPm1vUzcUCPuOj9-eoHUD85PqINFqUB0TjdSWmR5-c/edit?usp=share_link"",""ยะลา!L456"")+IMPORTRANGE(""https://docs.google.com/spreadsheets/d/1YiDIE7Klmt8osgdapRqYWNr7iPGFSsiJqq46S7PYRE0/edit?usp=share_link"",""ระนอง!L456"")+IMPORTRANGE(""https"&amp;"://docs.google.com/spreadsheets/d/16o_4B-V7AWw_6E93bSpXj_XxVv1oVQctk-B6z1dNEWU/edit?usp=share_link"",""สงขลา!L456"")+IMPORTRANGE(""https://docs.google.com/spreadsheets/d/16cywr71Fj4fA5OGRHsZh30ZG2gwJhMAQv69oVBzYHv0/edit?usp=share_link"",""สตูล!L456"")+IMP"&amp;"ORTRANGE(""https://docs.google.com/spreadsheets/d/1vO9Sws6kMtrVtyvrAJptINXjK8TFBoX9xLYOVK_C8bQ/edit?usp=share_link"",""สุราษฎร์ธานี!L456"")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20.25" customHeight="1">
      <c r="A457" s="607"/>
      <c r="B457" s="608"/>
      <c r="C457" s="574" t="s">
        <v>16</v>
      </c>
      <c r="D457" s="609" t="s">
        <v>38</v>
      </c>
      <c r="E457" s="610"/>
      <c r="F457" s="611"/>
      <c r="G457" s="612"/>
      <c r="H457" s="175"/>
      <c r="I457" s="37"/>
      <c r="J457" s="37"/>
      <c r="K457" s="38"/>
      <c r="L457" s="38"/>
      <c r="M457" s="38"/>
      <c r="N457" s="38"/>
      <c r="O457" s="38"/>
      <c r="P457" s="3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20.25" hidden="1" customHeight="1">
      <c r="A458" s="613"/>
      <c r="B458" s="614"/>
      <c r="C458" s="614"/>
      <c r="D458" s="615" t="s">
        <v>201</v>
      </c>
      <c r="E458" s="614"/>
      <c r="F458" s="600"/>
      <c r="G458" s="366"/>
      <c r="H458" s="370" t="s">
        <v>35</v>
      </c>
      <c r="I458" s="616">
        <v>0</v>
      </c>
      <c r="J458" s="616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20.25" hidden="1" customHeight="1">
      <c r="A459" s="613"/>
      <c r="B459" s="614"/>
      <c r="C459" s="614"/>
      <c r="D459" s="615" t="s">
        <v>202</v>
      </c>
      <c r="E459" s="614"/>
      <c r="F459" s="600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20.25" customHeight="1">
      <c r="A460" s="607"/>
      <c r="B460" s="608"/>
      <c r="C460" s="608"/>
      <c r="D460" s="617" t="s">
        <v>203</v>
      </c>
      <c r="E460" s="608"/>
      <c r="F460" s="618"/>
      <c r="G460" s="175"/>
      <c r="H460" s="182" t="s">
        <v>35</v>
      </c>
      <c r="I460" s="37">
        <f ca="1">IFERROR(__xludf.DUMMYFUNCTION("IMPORTRANGE(""https://docs.google.com/spreadsheets/d/1kC41EOXpGBFOW658Fs3oD8beYlym0-zO54WY-2Qnp9I/edit?usp=share_link"",""กระบี่!I460"")
+IMPORTRANGE(""https://docs.google.com/spreadsheets/d/1FbzMZY_f3MDiEuK7RpCQKrilJ_kpX0Wm7QBZ1L7EjIU/edit?usp=share_link"&amp;""",""ชุมพร!I460"")+IMPORTRANGE(""https://docs.google.com/spreadsheets/d/1v5sN-00LrXuhBxw4dkh2GrG_z4l5oAqOdJRBCsUyMaM/edit?usp=share_link"",""ตรัง!I460"")+IMPORTRANGE(""https://docs.google.com/spreadsheets/d/1T5rRTzFc79aSIvqnzkZNvwPstq829QYz_xALlO1Z0s8/edi"&amp;"t?usp=share_link"",""นครศรีธรรมราช!I460"")+IMPORTRANGE(""https://docs.google.com/spreadsheets/d/1BeghqumK0IvCmRd2QOy6_afsZq7ZtAGrSnVJy2u7WmY/edit?usp=share_link"",""นราธิวาส!I460"")+IMPORTRANGE(""https://docs.google.com/spreadsheets/d/1IwnW3-jjRf74MCLW-6P"&amp;"iFwMUffRQXZwZA7YM609NmRc/edit?usp=share_link"",""ปัตตานี!I460"")+IMPORTRANGE(""https://docs.google.com/spreadsheets/d/1vl4QWbWdFruual5o_wdo6ZSqXZ_it806oja4CctTLKs/edit?usp=share_link"",""พังงา!I460"")+IMPORTRANGE(""https://docs.google.com/spreadsheets/d/1"&amp;"b6QssHQp2FoAPSMKHOy273KNzAomaIKhtdlvuZ_zDNE/edit?usp=share_link"",""พัทลุง!I460"")+IMPORTRANGE(""https://docs.google.com/spreadsheets/d/1o7UZe4_OqlqtLDHrj01Z2YFRSZDf1DMy1n3XViHaxRc/edit?usp=share_link"",""ภูเก็ต!I460"")+IMPORTRANGE(""https://docs.google.c"&amp;"om/spreadsheets/d/1ctPm1vUzcUCPuOj9-eoHUD85PqINFqUB0TjdSWmR5-c/edit?usp=share_link"",""ยะลา!I460"")+IMPORTRANGE(""https://docs.google.com/spreadsheets/d/1YiDIE7Klmt8osgdapRqYWNr7iPGFSsiJqq46S7PYRE0/edit?usp=share_link"",""ระนอง!I460"")+IMPORTRANGE(""https"&amp;"://docs.google.com/spreadsheets/d/16o_4B-V7AWw_6E93bSpXj_XxVv1oVQctk-B6z1dNEWU/edit?usp=share_link"",""สงขลา!I460"")+IMPORTRANGE(""https://docs.google.com/spreadsheets/d/16cywr71Fj4fA5OGRHsZh30ZG2gwJhMAQv69oVBzYHv0/edit?usp=share_link"",""สตูล!I460"")+IMP"&amp;"ORTRANGE(""https://docs.google.com/spreadsheets/d/1vO9Sws6kMtrVtyvrAJptINXjK8TFBoX9xLYOVK_C8bQ/edit?usp=share_link"",""สุราษฎร์ธานี!I460"")"),255)</f>
        <v>255</v>
      </c>
      <c r="J460" s="183">
        <f ca="1">IFERROR(__xludf.DUMMYFUNCTION("IMPORTRANGE(""https://docs.google.com/spreadsheets/d/1kC41EOXpGBFOW658Fs3oD8beYlym0-zO54WY-2Qnp9I/edit?usp=share_link"",""กระบี่!J460"")
+IMPORTRANGE(""https://docs.google.com/spreadsheets/d/1FbzMZY_f3MDiEuK7RpCQKrilJ_kpX0Wm7QBZ1L7EjIU/edit?usp=share_link"&amp;""",""ชุมพร!J460"")+IMPORTRANGE(""https://docs.google.com/spreadsheets/d/1v5sN-00LrXuhBxw4dkh2GrG_z4l5oAqOdJRBCsUyMaM/edit?usp=share_link"",""ตรัง!J460"")+IMPORTRANGE(""https://docs.google.com/spreadsheets/d/1T5rRTzFc79aSIvqnzkZNvwPstq829QYz_xALlO1Z0s8/edi"&amp;"t?usp=share_link"",""นครศรีธรรมราช!J460"")+IMPORTRANGE(""https://docs.google.com/spreadsheets/d/1BeghqumK0IvCmRd2QOy6_afsZq7ZtAGrSnVJy2u7WmY/edit?usp=share_link"",""นราธิวาส!J460"")+IMPORTRANGE(""https://docs.google.com/spreadsheets/d/1IwnW3-jjRf74MCLW-6P"&amp;"iFwMUffRQXZwZA7YM609NmRc/edit?usp=share_link"",""ปัตตานี!J460"")+IMPORTRANGE(""https://docs.google.com/spreadsheets/d/1vl4QWbWdFruual5o_wdo6ZSqXZ_it806oja4CctTLKs/edit?usp=share_link"",""พังงา!J460"")+IMPORTRANGE(""https://docs.google.com/spreadsheets/d/1"&amp;"b6QssHQp2FoAPSMKHOy273KNzAomaIKhtdlvuZ_zDNE/edit?usp=share_link"",""พัทลุง!J460"")+IMPORTRANGE(""https://docs.google.com/spreadsheets/d/1o7UZe4_OqlqtLDHrj01Z2YFRSZDf1DMy1n3XViHaxRc/edit?usp=share_link"",""ภูเก็ต!J460"")+IMPORTRANGE(""https://docs.google.c"&amp;"om/spreadsheets/d/1ctPm1vUzcUCPuOj9-eoHUD85PqINFqUB0TjdSWmR5-c/edit?usp=share_link"",""ยะลา!J460"")+IMPORTRANGE(""https://docs.google.com/spreadsheets/d/1YiDIE7Klmt8osgdapRqYWNr7iPGFSsiJqq46S7PYRE0/edit?usp=share_link"",""ระนอง!J460"")+IMPORTRANGE(""https"&amp;"://docs.google.com/spreadsheets/d/16o_4B-V7AWw_6E93bSpXj_XxVv1oVQctk-B6z1dNEWU/edit?usp=share_link"",""สงขลา!J460"")+IMPORTRANGE(""https://docs.google.com/spreadsheets/d/16cywr71Fj4fA5OGRHsZh30ZG2gwJhMAQv69oVBzYHv0/edit?usp=share_link"",""สตูล!J460"")+IMP"&amp;"ORTRANGE(""https://docs.google.com/spreadsheets/d/1vO9Sws6kMtrVtyvrAJptINXjK8TFBoX9xLYOVK_C8bQ/edit?usp=share_link"",""สุราษฎร์ธานี!J460"")"),255)</f>
        <v>255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20.25" customHeight="1">
      <c r="A461" s="607"/>
      <c r="B461" s="608"/>
      <c r="C461" s="608"/>
      <c r="D461" s="617" t="s">
        <v>204</v>
      </c>
      <c r="E461" s="618"/>
      <c r="F461" s="618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20.25" customHeight="1">
      <c r="A462" s="607"/>
      <c r="B462" s="608"/>
      <c r="C462" s="608"/>
      <c r="D462" s="617" t="s">
        <v>205</v>
      </c>
      <c r="E462" s="618"/>
      <c r="F462" s="618"/>
      <c r="G462" s="175"/>
      <c r="H462" s="182" t="s">
        <v>46</v>
      </c>
      <c r="I462" s="37">
        <f ca="1">IFERROR(__xludf.DUMMYFUNCTION("IMPORTRANGE(""https://docs.google.com/spreadsheets/d/1kC41EOXpGBFOW658Fs3oD8beYlym0-zO54WY-2Qnp9I/edit?usp=share_link"",""กระบี่!I462"")
+IMPORTRANGE(""https://docs.google.com/spreadsheets/d/1FbzMZY_f3MDiEuK7RpCQKrilJ_kpX0Wm7QBZ1L7EjIU/edit?usp=share_link"&amp;""",""ชุมพร!I462"")+IMPORTRANGE(""https://docs.google.com/spreadsheets/d/1v5sN-00LrXuhBxw4dkh2GrG_z4l5oAqOdJRBCsUyMaM/edit?usp=share_link"",""ตรัง!I462"")+IMPORTRANGE(""https://docs.google.com/spreadsheets/d/1T5rRTzFc79aSIvqnzkZNvwPstq829QYz_xALlO1Z0s8/edi"&amp;"t?usp=share_link"",""นครศรีธรรมราช!I462"")+IMPORTRANGE(""https://docs.google.com/spreadsheets/d/1BeghqumK0IvCmRd2QOy6_afsZq7ZtAGrSnVJy2u7WmY/edit?usp=share_link"",""นราธิวาส!I462"")+IMPORTRANGE(""https://docs.google.com/spreadsheets/d/1IwnW3-jjRf74MCLW-6P"&amp;"iFwMUffRQXZwZA7YM609NmRc/edit?usp=share_link"",""ปัตตานี!I462"")+IMPORTRANGE(""https://docs.google.com/spreadsheets/d/1vl4QWbWdFruual5o_wdo6ZSqXZ_it806oja4CctTLKs/edit?usp=share_link"",""พังงา!I462"")+IMPORTRANGE(""https://docs.google.com/spreadsheets/d/1"&amp;"b6QssHQp2FoAPSMKHOy273KNzAomaIKhtdlvuZ_zDNE/edit?usp=share_link"",""พัทลุง!I462"")+IMPORTRANGE(""https://docs.google.com/spreadsheets/d/1o7UZe4_OqlqtLDHrj01Z2YFRSZDf1DMy1n3XViHaxRc/edit?usp=share_link"",""ภูเก็ต!I462"")+IMPORTRANGE(""https://docs.google.c"&amp;"om/spreadsheets/d/1ctPm1vUzcUCPuOj9-eoHUD85PqINFqUB0TjdSWmR5-c/edit?usp=share_link"",""ยะลา!I462"")+IMPORTRANGE(""https://docs.google.com/spreadsheets/d/1YiDIE7Klmt8osgdapRqYWNr7iPGFSsiJqq46S7PYRE0/edit?usp=share_link"",""ระนอง!I462"")+IMPORTRANGE(""https"&amp;"://docs.google.com/spreadsheets/d/16o_4B-V7AWw_6E93bSpXj_XxVv1oVQctk-B6z1dNEWU/edit?usp=share_link"",""สงขลา!I462"")+IMPORTRANGE(""https://docs.google.com/spreadsheets/d/16cywr71Fj4fA5OGRHsZh30ZG2gwJhMAQv69oVBzYHv0/edit?usp=share_link"",""สตูล!I462"")+IMP"&amp;"ORTRANGE(""https://docs.google.com/spreadsheets/d/1vO9Sws6kMtrVtyvrAJptINXjK8TFBoX9xLYOVK_C8bQ/edit?usp=share_link"",""สุราษฎร์ธานี!I462"")"),820)</f>
        <v>820</v>
      </c>
      <c r="J462" s="183">
        <f ca="1">IFERROR(__xludf.DUMMYFUNCTION("IMPORTRANGE(""https://docs.google.com/spreadsheets/d/1kC41EOXpGBFOW658Fs3oD8beYlym0-zO54WY-2Qnp9I/edit?usp=share_link"",""กระบี่!J462"")
+IMPORTRANGE(""https://docs.google.com/spreadsheets/d/1FbzMZY_f3MDiEuK7RpCQKrilJ_kpX0Wm7QBZ1L7EjIU/edit?usp=share_link"&amp;""",""ชุมพร!J462"")+IMPORTRANGE(""https://docs.google.com/spreadsheets/d/1v5sN-00LrXuhBxw4dkh2GrG_z4l5oAqOdJRBCsUyMaM/edit?usp=share_link"",""ตรัง!J462"")+IMPORTRANGE(""https://docs.google.com/spreadsheets/d/1T5rRTzFc79aSIvqnzkZNvwPstq829QYz_xALlO1Z0s8/edi"&amp;"t?usp=share_link"",""นครศรีธรรมราช!J462"")+IMPORTRANGE(""https://docs.google.com/spreadsheets/d/1BeghqumK0IvCmRd2QOy6_afsZq7ZtAGrSnVJy2u7WmY/edit?usp=share_link"",""นราธิวาส!J462"")+IMPORTRANGE(""https://docs.google.com/spreadsheets/d/1IwnW3-jjRf74MCLW-6P"&amp;"iFwMUffRQXZwZA7YM609NmRc/edit?usp=share_link"",""ปัตตานี!J462"")+IMPORTRANGE(""https://docs.google.com/spreadsheets/d/1vl4QWbWdFruual5o_wdo6ZSqXZ_it806oja4CctTLKs/edit?usp=share_link"",""พังงา!J462"")+IMPORTRANGE(""https://docs.google.com/spreadsheets/d/1"&amp;"b6QssHQp2FoAPSMKHOy273KNzAomaIKhtdlvuZ_zDNE/edit?usp=share_link"",""พัทลุง!J462"")+IMPORTRANGE(""https://docs.google.com/spreadsheets/d/1o7UZe4_OqlqtLDHrj01Z2YFRSZDf1DMy1n3XViHaxRc/edit?usp=share_link"",""ภูเก็ต!J462"")+IMPORTRANGE(""https://docs.google.c"&amp;"om/spreadsheets/d/1ctPm1vUzcUCPuOj9-eoHUD85PqINFqUB0TjdSWmR5-c/edit?usp=share_link"",""ยะลา!J462"")+IMPORTRANGE(""https://docs.google.com/spreadsheets/d/1YiDIE7Klmt8osgdapRqYWNr7iPGFSsiJqq46S7PYRE0/edit?usp=share_link"",""ระนอง!J462"")+IMPORTRANGE(""https"&amp;"://docs.google.com/spreadsheets/d/16o_4B-V7AWw_6E93bSpXj_XxVv1oVQctk-B6z1dNEWU/edit?usp=share_link"",""สงขลา!J462"")+IMPORTRANGE(""https://docs.google.com/spreadsheets/d/16cywr71Fj4fA5OGRHsZh30ZG2gwJhMAQv69oVBzYHv0/edit?usp=share_link"",""สตูล!J462"")+IMP"&amp;"ORTRANGE(""https://docs.google.com/spreadsheets/d/1vO9Sws6kMtrVtyvrAJptINXjK8TFBoX9xLYOVK_C8bQ/edit?usp=share_link"",""สุราษฎร์ธานี!J462"")"),820)</f>
        <v>820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20.25" customHeight="1">
      <c r="A463" s="607"/>
      <c r="B463" s="608"/>
      <c r="C463" s="608"/>
      <c r="D463" s="617" t="s">
        <v>59</v>
      </c>
      <c r="E463" s="618"/>
      <c r="F463" s="575"/>
      <c r="G463" s="189"/>
      <c r="H463" s="182" t="s">
        <v>46</v>
      </c>
      <c r="I463" s="270">
        <f ca="1">IFERROR(__xludf.DUMMYFUNCTION("IMPORTRANGE(""https://docs.google.com/spreadsheets/d/1kC41EOXpGBFOW658Fs3oD8beYlym0-zO54WY-2Qnp9I/edit?usp=share_link"",""กระบี่!I463"")
+IMPORTRANGE(""https://docs.google.com/spreadsheets/d/1FbzMZY_f3MDiEuK7RpCQKrilJ_kpX0Wm7QBZ1L7EjIU/edit?usp=share_link"&amp;""",""ชุมพร!I463"")+IMPORTRANGE(""https://docs.google.com/spreadsheets/d/1v5sN-00LrXuhBxw4dkh2GrG_z4l5oAqOdJRBCsUyMaM/edit?usp=share_link"",""ตรัง!I463"")+IMPORTRANGE(""https://docs.google.com/spreadsheets/d/1T5rRTzFc79aSIvqnzkZNvwPstq829QYz_xALlO1Z0s8/edi"&amp;"t?usp=share_link"",""นครศรีธรรมราช!I463"")+IMPORTRANGE(""https://docs.google.com/spreadsheets/d/1BeghqumK0IvCmRd2QOy6_afsZq7ZtAGrSnVJy2u7WmY/edit?usp=share_link"",""นราธิวาส!I463"")+IMPORTRANGE(""https://docs.google.com/spreadsheets/d/1IwnW3-jjRf74MCLW-6P"&amp;"iFwMUffRQXZwZA7YM609NmRc/edit?usp=share_link"",""ปัตตานี!I463"")+IMPORTRANGE(""https://docs.google.com/spreadsheets/d/1vl4QWbWdFruual5o_wdo6ZSqXZ_it806oja4CctTLKs/edit?usp=share_link"",""พังงา!I463"")+IMPORTRANGE(""https://docs.google.com/spreadsheets/d/1"&amp;"b6QssHQp2FoAPSMKHOy273KNzAomaIKhtdlvuZ_zDNE/edit?usp=share_link"",""พัทลุง!I463"")+IMPORTRANGE(""https://docs.google.com/spreadsheets/d/1o7UZe4_OqlqtLDHrj01Z2YFRSZDf1DMy1n3XViHaxRc/edit?usp=share_link"",""ภูเก็ต!I463"")+IMPORTRANGE(""https://docs.google.c"&amp;"om/spreadsheets/d/1ctPm1vUzcUCPuOj9-eoHUD85PqINFqUB0TjdSWmR5-c/edit?usp=share_link"",""ยะลา!I463"")+IMPORTRANGE(""https://docs.google.com/spreadsheets/d/1YiDIE7Klmt8osgdapRqYWNr7iPGFSsiJqq46S7PYRE0/edit?usp=share_link"",""ระนอง!I463"")+IMPORTRANGE(""https"&amp;"://docs.google.com/spreadsheets/d/16o_4B-V7AWw_6E93bSpXj_XxVv1oVQctk-B6z1dNEWU/edit?usp=share_link"",""สงขลา!I463"")+IMPORTRANGE(""https://docs.google.com/spreadsheets/d/16cywr71Fj4fA5OGRHsZh30ZG2gwJhMAQv69oVBzYHv0/edit?usp=share_link"",""สตูล!I463"")+IMP"&amp;"ORTRANGE(""https://docs.google.com/spreadsheets/d/1vO9Sws6kMtrVtyvrAJptINXjK8TFBoX9xLYOVK_C8bQ/edit?usp=share_link"",""สุราษฎร์ธานี!I463"")"),820)</f>
        <v>820</v>
      </c>
      <c r="J463" s="183">
        <f ca="1">IFERROR(__xludf.DUMMYFUNCTION("IMPORTRANGE(""https://docs.google.com/spreadsheets/d/1kC41EOXpGBFOW658Fs3oD8beYlym0-zO54WY-2Qnp9I/edit?usp=share_link"",""กระบี่!J463"")
+IMPORTRANGE(""https://docs.google.com/spreadsheets/d/1FbzMZY_f3MDiEuK7RpCQKrilJ_kpX0Wm7QBZ1L7EjIU/edit?usp=share_link"&amp;""",""ชุมพร!J463"")+IMPORTRANGE(""https://docs.google.com/spreadsheets/d/1v5sN-00LrXuhBxw4dkh2GrG_z4l5oAqOdJRBCsUyMaM/edit?usp=share_link"",""ตรัง!J463"")+IMPORTRANGE(""https://docs.google.com/spreadsheets/d/1T5rRTzFc79aSIvqnzkZNvwPstq829QYz_xALlO1Z0s8/edi"&amp;"t?usp=share_link"",""นครศรีธรรมราช!J463"")+IMPORTRANGE(""https://docs.google.com/spreadsheets/d/1BeghqumK0IvCmRd2QOy6_afsZq7ZtAGrSnVJy2u7WmY/edit?usp=share_link"",""นราธิวาส!J463"")+IMPORTRANGE(""https://docs.google.com/spreadsheets/d/1IwnW3-jjRf74MCLW-6P"&amp;"iFwMUffRQXZwZA7YM609NmRc/edit?usp=share_link"",""ปัตตานี!J463"")+IMPORTRANGE(""https://docs.google.com/spreadsheets/d/1vl4QWbWdFruual5o_wdo6ZSqXZ_it806oja4CctTLKs/edit?usp=share_link"",""พังงา!J463"")+IMPORTRANGE(""https://docs.google.com/spreadsheets/d/1"&amp;"b6QssHQp2FoAPSMKHOy273KNzAomaIKhtdlvuZ_zDNE/edit?usp=share_link"",""พัทลุง!J463"")+IMPORTRANGE(""https://docs.google.com/spreadsheets/d/1o7UZe4_OqlqtLDHrj01Z2YFRSZDf1DMy1n3XViHaxRc/edit?usp=share_link"",""ภูเก็ต!J463"")+IMPORTRANGE(""https://docs.google.c"&amp;"om/spreadsheets/d/1ctPm1vUzcUCPuOj9-eoHUD85PqINFqUB0TjdSWmR5-c/edit?usp=share_link"",""ยะลา!J463"")+IMPORTRANGE(""https://docs.google.com/spreadsheets/d/1YiDIE7Klmt8osgdapRqYWNr7iPGFSsiJqq46S7PYRE0/edit?usp=share_link"",""ระนอง!J463"")+IMPORTRANGE(""https"&amp;"://docs.google.com/spreadsheets/d/16o_4B-V7AWw_6E93bSpXj_XxVv1oVQctk-B6z1dNEWU/edit?usp=share_link"",""สงขลา!J463"")+IMPORTRANGE(""https://docs.google.com/spreadsheets/d/16cywr71Fj4fA5OGRHsZh30ZG2gwJhMAQv69oVBzYHv0/edit?usp=share_link"",""สตูล!J463"")+IMP"&amp;"ORTRANGE(""https://docs.google.com/spreadsheets/d/1vO9Sws6kMtrVtyvrAJptINXjK8TFBoX9xLYOVK_C8bQ/edit?usp=share_link"",""สุราษฎร์ธานี!J463"")"),520)</f>
        <v>520</v>
      </c>
      <c r="K463" s="38"/>
      <c r="L463" s="38"/>
      <c r="M463" s="38"/>
      <c r="N463" s="38"/>
      <c r="O463" s="38"/>
      <c r="P463" s="3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20.25" customHeight="1">
      <c r="A464" s="607"/>
      <c r="B464" s="608"/>
      <c r="C464" s="608"/>
      <c r="D464" s="608"/>
      <c r="E464" s="618"/>
      <c r="F464" s="618"/>
      <c r="G464" s="619"/>
      <c r="H464" s="182" t="s">
        <v>35</v>
      </c>
      <c r="I464" s="270">
        <f ca="1">IFERROR(__xludf.DUMMYFUNCTION("IMPORTRANGE(""https://docs.google.com/spreadsheets/d/1kC41EOXpGBFOW658Fs3oD8beYlym0-zO54WY-2Qnp9I/edit?usp=share_link"",""กระบี่!I464"")
+IMPORTRANGE(""https://docs.google.com/spreadsheets/d/1FbzMZY_f3MDiEuK7RpCQKrilJ_kpX0Wm7QBZ1L7EjIU/edit?usp=share_link"&amp;""",""ชุมพร!I464"")+IMPORTRANGE(""https://docs.google.com/spreadsheets/d/1v5sN-00LrXuhBxw4dkh2GrG_z4l5oAqOdJRBCsUyMaM/edit?usp=share_link"",""ตรัง!I464"")+IMPORTRANGE(""https://docs.google.com/spreadsheets/d/1T5rRTzFc79aSIvqnzkZNvwPstq829QYz_xALlO1Z0s8/edi"&amp;"t?usp=share_link"",""นครศรีธรรมราช!I464"")+IMPORTRANGE(""https://docs.google.com/spreadsheets/d/1BeghqumK0IvCmRd2QOy6_afsZq7ZtAGrSnVJy2u7WmY/edit?usp=share_link"",""นราธิวาส!I464"")+IMPORTRANGE(""https://docs.google.com/spreadsheets/d/1IwnW3-jjRf74MCLW-6P"&amp;"iFwMUffRQXZwZA7YM609NmRc/edit?usp=share_link"",""ปัตตานี!I464"")+IMPORTRANGE(""https://docs.google.com/spreadsheets/d/1vl4QWbWdFruual5o_wdo6ZSqXZ_it806oja4CctTLKs/edit?usp=share_link"",""พังงา!I464"")+IMPORTRANGE(""https://docs.google.com/spreadsheets/d/1"&amp;"b6QssHQp2FoAPSMKHOy273KNzAomaIKhtdlvuZ_zDNE/edit?usp=share_link"",""พัทลุง!I464"")+IMPORTRANGE(""https://docs.google.com/spreadsheets/d/1o7UZe4_OqlqtLDHrj01Z2YFRSZDf1DMy1n3XViHaxRc/edit?usp=share_link"",""ภูเก็ต!I464"")+IMPORTRANGE(""https://docs.google.c"&amp;"om/spreadsheets/d/1ctPm1vUzcUCPuOj9-eoHUD85PqINFqUB0TjdSWmR5-c/edit?usp=share_link"",""ยะลา!I464"")+IMPORTRANGE(""https://docs.google.com/spreadsheets/d/1YiDIE7Klmt8osgdapRqYWNr7iPGFSsiJqq46S7PYRE0/edit?usp=share_link"",""ระนอง!I464"")+IMPORTRANGE(""https"&amp;"://docs.google.com/spreadsheets/d/16o_4B-V7AWw_6E93bSpXj_XxVv1oVQctk-B6z1dNEWU/edit?usp=share_link"",""สงขลา!I464"")+IMPORTRANGE(""https://docs.google.com/spreadsheets/d/16cywr71Fj4fA5OGRHsZh30ZG2gwJhMAQv69oVBzYHv0/edit?usp=share_link"",""สตูล!I464"")+IMP"&amp;"ORTRANGE(""https://docs.google.com/spreadsheets/d/1vO9Sws6kMtrVtyvrAJptINXjK8TFBoX9xLYOVK_C8bQ/edit?usp=share_link"",""สุราษฎร์ธานี!I464"")"),255)</f>
        <v>255</v>
      </c>
      <c r="J464" s="183">
        <f ca="1">IFERROR(__xludf.DUMMYFUNCTION("IMPORTRANGE(""https://docs.google.com/spreadsheets/d/1kC41EOXpGBFOW658Fs3oD8beYlym0-zO54WY-2Qnp9I/edit?usp=share_link"",""กระบี่!J464"")
+IMPORTRANGE(""https://docs.google.com/spreadsheets/d/1FbzMZY_f3MDiEuK7RpCQKrilJ_kpX0Wm7QBZ1L7EjIU/edit?usp=share_link"&amp;""",""ชุมพร!J464"")+IMPORTRANGE(""https://docs.google.com/spreadsheets/d/1v5sN-00LrXuhBxw4dkh2GrG_z4l5oAqOdJRBCsUyMaM/edit?usp=share_link"",""ตรัง!J464"")+IMPORTRANGE(""https://docs.google.com/spreadsheets/d/1T5rRTzFc79aSIvqnzkZNvwPstq829QYz_xALlO1Z0s8/edi"&amp;"t?usp=share_link"",""นครศรีธรรมราช!J464"")+IMPORTRANGE(""https://docs.google.com/spreadsheets/d/1BeghqumK0IvCmRd2QOy6_afsZq7ZtAGrSnVJy2u7WmY/edit?usp=share_link"",""นราธิวาส!J464"")+IMPORTRANGE(""https://docs.google.com/spreadsheets/d/1IwnW3-jjRf74MCLW-6P"&amp;"iFwMUffRQXZwZA7YM609NmRc/edit?usp=share_link"",""ปัตตานี!J464"")+IMPORTRANGE(""https://docs.google.com/spreadsheets/d/1vl4QWbWdFruual5o_wdo6ZSqXZ_it806oja4CctTLKs/edit?usp=share_link"",""พังงา!J464"")+IMPORTRANGE(""https://docs.google.com/spreadsheets/d/1"&amp;"b6QssHQp2FoAPSMKHOy273KNzAomaIKhtdlvuZ_zDNE/edit?usp=share_link"",""พัทลุง!J464"")+IMPORTRANGE(""https://docs.google.com/spreadsheets/d/1o7UZe4_OqlqtLDHrj01Z2YFRSZDf1DMy1n3XViHaxRc/edit?usp=share_link"",""ภูเก็ต!J464"")+IMPORTRANGE(""https://docs.google.c"&amp;"om/spreadsheets/d/1ctPm1vUzcUCPuOj9-eoHUD85PqINFqUB0TjdSWmR5-c/edit?usp=share_link"",""ยะลา!J464"")+IMPORTRANGE(""https://docs.google.com/spreadsheets/d/1YiDIE7Klmt8osgdapRqYWNr7iPGFSsiJqq46S7PYRE0/edit?usp=share_link"",""ระนอง!J464"")+IMPORTRANGE(""https"&amp;"://docs.google.com/spreadsheets/d/16o_4B-V7AWw_6E93bSpXj_XxVv1oVQctk-B6z1dNEWU/edit?usp=share_link"",""สงขลา!J464"")+IMPORTRANGE(""https://docs.google.com/spreadsheets/d/16cywr71Fj4fA5OGRHsZh30ZG2gwJhMAQv69oVBzYHv0/edit?usp=share_link"",""สตูล!J464"")+IMP"&amp;"ORTRANGE(""https://docs.google.com/spreadsheets/d/1vO9Sws6kMtrVtyvrAJptINXjK8TFBoX9xLYOVK_C8bQ/edit?usp=share_link"",""สุราษฎร์ธานี!J464"")"),195)</f>
        <v>195</v>
      </c>
      <c r="K464" s="38"/>
      <c r="L464" s="38"/>
      <c r="M464" s="38"/>
      <c r="N464" s="38"/>
      <c r="O464" s="38"/>
      <c r="P464" s="3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20.25" customHeight="1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IFERROR(__xludf.DUMMYFUNCTION("IMPORTRANGE(""https://docs.google.com/spreadsheets/d/1kC41EOXpGBFOW658Fs3oD8beYlym0-zO54WY-2Qnp9I/edit?usp=share_link"",""กระบี่!I465"")
+IMPORTRANGE(""https://docs.google.com/spreadsheets/d/1FbzMZY_f3MDiEuK7RpCQKrilJ_kpX0Wm7QBZ1L7EjIU/edit?usp=share_link"&amp;""",""ชุมพร!I465"")+IMPORTRANGE(""https://docs.google.com/spreadsheets/d/1v5sN-00LrXuhBxw4dkh2GrG_z4l5oAqOdJRBCsUyMaM/edit?usp=share_link"",""ตรัง!I465"")+IMPORTRANGE(""https://docs.google.com/spreadsheets/d/1T5rRTzFc79aSIvqnzkZNvwPstq829QYz_xALlO1Z0s8/edi"&amp;"t?usp=share_link"",""นครศรีธรรมราช!I465"")+IMPORTRANGE(""https://docs.google.com/spreadsheets/d/1BeghqumK0IvCmRd2QOy6_afsZq7ZtAGrSnVJy2u7WmY/edit?usp=share_link"",""นราธิวาส!I465"")+IMPORTRANGE(""https://docs.google.com/spreadsheets/d/1IwnW3-jjRf74MCLW-6P"&amp;"iFwMUffRQXZwZA7YM609NmRc/edit?usp=share_link"",""ปัตตานี!I465"")+IMPORTRANGE(""https://docs.google.com/spreadsheets/d/1vl4QWbWdFruual5o_wdo6ZSqXZ_it806oja4CctTLKs/edit?usp=share_link"",""พังงา!I465"")+IMPORTRANGE(""https://docs.google.com/spreadsheets/d/1"&amp;"b6QssHQp2FoAPSMKHOy273KNzAomaIKhtdlvuZ_zDNE/edit?usp=share_link"",""พัทลุง!I465"")+IMPORTRANGE(""https://docs.google.com/spreadsheets/d/1o7UZe4_OqlqtLDHrj01Z2YFRSZDf1DMy1n3XViHaxRc/edit?usp=share_link"",""ภูเก็ต!I465"")+IMPORTRANGE(""https://docs.google.c"&amp;"om/spreadsheets/d/1ctPm1vUzcUCPuOj9-eoHUD85PqINFqUB0TjdSWmR5-c/edit?usp=share_link"",""ยะลา!I465"")+IMPORTRANGE(""https://docs.google.com/spreadsheets/d/1YiDIE7Klmt8osgdapRqYWNr7iPGFSsiJqq46S7PYRE0/edit?usp=share_link"",""ระนอง!I465"")+IMPORTRANGE(""https"&amp;"://docs.google.com/spreadsheets/d/16o_4B-V7AWw_6E93bSpXj_XxVv1oVQctk-B6z1dNEWU/edit?usp=share_link"",""สงขลา!I465"")+IMPORTRANGE(""https://docs.google.com/spreadsheets/d/16cywr71Fj4fA5OGRHsZh30ZG2gwJhMAQv69oVBzYHv0/edit?usp=share_link"",""สตูล!I465"")+IMP"&amp;"ORTRANGE(""https://docs.google.com/spreadsheets/d/1vO9Sws6kMtrVtyvrAJptINXjK8TFBoX9xLYOVK_C8bQ/edit?usp=share_link"",""สุราษฎร์ธานี!I465"")"),494)</f>
        <v>494</v>
      </c>
      <c r="J465" s="589">
        <f ca="1">J485+J489+J492</f>
        <v>500</v>
      </c>
      <c r="K465" s="590">
        <f t="shared" ref="K465:K466" ca="1" si="237">IF(I465&gt;0,J465*100/I465,0)</f>
        <v>101.21457489878543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20.25" customHeight="1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IFERROR(__xludf.DUMMYFUNCTION("IMPORTRANGE(""https://docs.google.com/spreadsheets/d/1kC41EOXpGBFOW658Fs3oD8beYlym0-zO54WY-2Qnp9I/edit?usp=share_link"",""กระบี่!I466"")
+IMPORTRANGE(""https://docs.google.com/spreadsheets/d/1FbzMZY_f3MDiEuK7RpCQKrilJ_kpX0Wm7QBZ1L7EjIU/edit?usp=share_link"&amp;""",""ชุมพร!I466"")+IMPORTRANGE(""https://docs.google.com/spreadsheets/d/1v5sN-00LrXuhBxw4dkh2GrG_z4l5oAqOdJRBCsUyMaM/edit?usp=share_link"",""ตรัง!I466"")+IMPORTRANGE(""https://docs.google.com/spreadsheets/d/1T5rRTzFc79aSIvqnzkZNvwPstq829QYz_xALlO1Z0s8/edi"&amp;"t?usp=share_link"",""นครศรีธรรมราช!I466"")+IMPORTRANGE(""https://docs.google.com/spreadsheets/d/1BeghqumK0IvCmRd2QOy6_afsZq7ZtAGrSnVJy2u7WmY/edit?usp=share_link"",""นราธิวาส!I466"")+IMPORTRANGE(""https://docs.google.com/spreadsheets/d/1IwnW3-jjRf74MCLW-6P"&amp;"iFwMUffRQXZwZA7YM609NmRc/edit?usp=share_link"",""ปัตตานี!I466"")+IMPORTRANGE(""https://docs.google.com/spreadsheets/d/1vl4QWbWdFruual5o_wdo6ZSqXZ_it806oja4CctTLKs/edit?usp=share_link"",""พังงา!I466"")+IMPORTRANGE(""https://docs.google.com/spreadsheets/d/1"&amp;"b6QssHQp2FoAPSMKHOy273KNzAomaIKhtdlvuZ_zDNE/edit?usp=share_link"",""พัทลุง!I466"")+IMPORTRANGE(""https://docs.google.com/spreadsheets/d/1o7UZe4_OqlqtLDHrj01Z2YFRSZDf1DMy1n3XViHaxRc/edit?usp=share_link"",""ภูเก็ต!I466"")+IMPORTRANGE(""https://docs.google.c"&amp;"om/spreadsheets/d/1ctPm1vUzcUCPuOj9-eoHUD85PqINFqUB0TjdSWmR5-c/edit?usp=share_link"",""ยะลา!I466"")+IMPORTRANGE(""https://docs.google.com/spreadsheets/d/1YiDIE7Klmt8osgdapRqYWNr7iPGFSsiJqq46S7PYRE0/edit?usp=share_link"",""ระนอง!I466"")+IMPORTRANGE(""https"&amp;"://docs.google.com/spreadsheets/d/16o_4B-V7AWw_6E93bSpXj_XxVv1oVQctk-B6z1dNEWU/edit?usp=share_link"",""สงขลา!I466"")+IMPORTRANGE(""https://docs.google.com/spreadsheets/d/16cywr71Fj4fA5OGRHsZh30ZG2gwJhMAQv69oVBzYHv0/edit?usp=share_link"",""สตูล!I466"")+IMP"&amp;"ORTRANGE(""https://docs.google.com/spreadsheets/d/1vO9Sws6kMtrVtyvrAJptINXjK8TFBoX9xLYOVK_C8bQ/edit?usp=share_link"",""สุราษฎร์ธานี!I466"")"),4800)</f>
        <v>4800</v>
      </c>
      <c r="J466" s="569">
        <f ca="1">J495+J498</f>
        <v>2680</v>
      </c>
      <c r="K466" s="570">
        <f t="shared" ca="1" si="237"/>
        <v>55.833333333333336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20.25" customHeight="1">
      <c r="A467" s="596"/>
      <c r="B467" s="575"/>
      <c r="C467" s="575" t="s">
        <v>16</v>
      </c>
      <c r="D467" s="848" t="s">
        <v>17</v>
      </c>
      <c r="E467" s="842"/>
      <c r="F467" s="842"/>
      <c r="G467" s="189"/>
      <c r="H467" s="597" t="s">
        <v>12</v>
      </c>
      <c r="I467" s="37"/>
      <c r="J467" s="37"/>
      <c r="K467" s="38"/>
      <c r="L467" s="195">
        <f t="shared" ref="L467:N467" ca="1" si="238">L468+L469</f>
        <v>4311197</v>
      </c>
      <c r="M467" s="195">
        <f t="shared" ca="1" si="238"/>
        <v>4311197</v>
      </c>
      <c r="N467" s="195">
        <f t="shared" ca="1" si="238"/>
        <v>2780287.9899999998</v>
      </c>
      <c r="O467" s="195">
        <f t="shared" ref="O467:O472" ca="1" si="239">IF(L467&gt;0,N467*100/L467,0)</f>
        <v>64.489931450592493</v>
      </c>
      <c r="P467" s="195">
        <f t="shared" ref="P467:P472" ca="1" si="240">IF(M467&gt;0,N467*100/M467,0)</f>
        <v>64.489931450592493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20.25" hidden="1" customHeight="1">
      <c r="A468" s="598"/>
      <c r="B468" s="599"/>
      <c r="C468" s="599"/>
      <c r="D468" s="600"/>
      <c r="E468" s="601" t="s">
        <v>185</v>
      </c>
      <c r="F468" s="599"/>
      <c r="G468" s="602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20.25" hidden="1" customHeight="1">
      <c r="A469" s="598"/>
      <c r="B469" s="604"/>
      <c r="C469" s="599"/>
      <c r="D469" s="600"/>
      <c r="E469" s="601" t="s">
        <v>186</v>
      </c>
      <c r="F469" s="599"/>
      <c r="G469" s="602"/>
      <c r="H469" s="165" t="s">
        <v>12</v>
      </c>
      <c r="I469" s="44"/>
      <c r="J469" s="44"/>
      <c r="K469" s="45"/>
      <c r="L469" s="45">
        <f t="shared" ref="L469:N469" ca="1" si="242">L472+L479</f>
        <v>4311197</v>
      </c>
      <c r="M469" s="45">
        <f t="shared" ca="1" si="242"/>
        <v>4311197</v>
      </c>
      <c r="N469" s="45">
        <f t="shared" ca="1" si="242"/>
        <v>2780287.9899999998</v>
      </c>
      <c r="O469" s="45">
        <f t="shared" ca="1" si="239"/>
        <v>64.489931450592493</v>
      </c>
      <c r="P469" s="45">
        <f t="shared" ca="1" si="240"/>
        <v>64.489931450592493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20.25" customHeight="1">
      <c r="A470" s="596"/>
      <c r="B470" s="574"/>
      <c r="C470" s="575"/>
      <c r="D470" s="605" t="s">
        <v>20</v>
      </c>
      <c r="E470" s="575"/>
      <c r="F470" s="575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4311197</v>
      </c>
      <c r="M470" s="38">
        <f t="shared" ca="1" si="243"/>
        <v>4311197</v>
      </c>
      <c r="N470" s="38">
        <f t="shared" ca="1" si="243"/>
        <v>2780287.9899999998</v>
      </c>
      <c r="O470" s="38">
        <f t="shared" ca="1" si="239"/>
        <v>64.489931450592493</v>
      </c>
      <c r="P470" s="38">
        <f t="shared" ca="1" si="240"/>
        <v>64.489931450592493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20.25" hidden="1" customHeight="1">
      <c r="A471" s="598"/>
      <c r="B471" s="604"/>
      <c r="C471" s="599"/>
      <c r="D471" s="600"/>
      <c r="E471" s="601" t="s">
        <v>185</v>
      </c>
      <c r="F471" s="599"/>
      <c r="G471" s="602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20.25" hidden="1" customHeight="1">
      <c r="A472" s="598"/>
      <c r="B472" s="604"/>
      <c r="C472" s="599"/>
      <c r="D472" s="600"/>
      <c r="E472" s="601" t="s">
        <v>186</v>
      </c>
      <c r="F472" s="599"/>
      <c r="G472" s="602"/>
      <c r="H472" s="165" t="s">
        <v>12</v>
      </c>
      <c r="I472" s="44"/>
      <c r="J472" s="44"/>
      <c r="K472" s="45"/>
      <c r="L472" s="45">
        <f ca="1">IFERROR(__xludf.DUMMYFUNCTION("IMPORTRANGE(""https://docs.google.com/spreadsheets/d/1kC41EOXpGBFOW658Fs3oD8beYlym0-zO54WY-2Qnp9I/edit?usp=share_link"",""กระบี่!L472"")
+IMPORTRANGE(""https://docs.google.com/spreadsheets/d/1FbzMZY_f3MDiEuK7RpCQKrilJ_kpX0Wm7QBZ1L7EjIU/edit?usp=share_link"&amp;""",""ชุมพร!L472"")+IMPORTRANGE(""https://docs.google.com/spreadsheets/d/1v5sN-00LrXuhBxw4dkh2GrG_z4l5oAqOdJRBCsUyMaM/edit?usp=share_link"",""ตรัง!L472"")+IMPORTRANGE(""https://docs.google.com/spreadsheets/d/1T5rRTzFc79aSIvqnzkZNvwPstq829QYz_xALlO1Z0s8/edi"&amp;"t?usp=share_link"",""นครศรีธรรมราช!L472"")+IMPORTRANGE(""https://docs.google.com/spreadsheets/d/1BeghqumK0IvCmRd2QOy6_afsZq7ZtAGrSnVJy2u7WmY/edit?usp=share_link"",""นราธิวาส!L472"")+IMPORTRANGE(""https://docs.google.com/spreadsheets/d/1IwnW3-jjRf74MCLW-6P"&amp;"iFwMUffRQXZwZA7YM609NmRc/edit?usp=share_link"",""ปัตตานี!L472"")+IMPORTRANGE(""https://docs.google.com/spreadsheets/d/1vl4QWbWdFruual5o_wdo6ZSqXZ_it806oja4CctTLKs/edit?usp=share_link"",""พังงา!L472"")+IMPORTRANGE(""https://docs.google.com/spreadsheets/d/1"&amp;"b6QssHQp2FoAPSMKHOy273KNzAomaIKhtdlvuZ_zDNE/edit?usp=share_link"",""พัทลุง!L472"")+IMPORTRANGE(""https://docs.google.com/spreadsheets/d/1o7UZe4_OqlqtLDHrj01Z2YFRSZDf1DMy1n3XViHaxRc/edit?usp=share_link"",""ภูเก็ต!L472"")+IMPORTRANGE(""https://docs.google.c"&amp;"om/spreadsheets/d/1ctPm1vUzcUCPuOj9-eoHUD85PqINFqUB0TjdSWmR5-c/edit?usp=share_link"",""ยะลา!L472"")+IMPORTRANGE(""https://docs.google.com/spreadsheets/d/1YiDIE7Klmt8osgdapRqYWNr7iPGFSsiJqq46S7PYRE0/edit?usp=share_link"",""ระนอง!L472"")+IMPORTRANGE(""https"&amp;"://docs.google.com/spreadsheets/d/16o_4B-V7AWw_6E93bSpXj_XxVv1oVQctk-B6z1dNEWU/edit?usp=share_link"",""สงขลา!L472"")+IMPORTRANGE(""https://docs.google.com/spreadsheets/d/16cywr71Fj4fA5OGRHsZh30ZG2gwJhMAQv69oVBzYHv0/edit?usp=share_link"",""สตูล!L472"")+IMP"&amp;"ORTRANGE(""https://docs.google.com/spreadsheets/d/1vO9Sws6kMtrVtyvrAJptINXjK8TFBoX9xLYOVK_C8bQ/edit?usp=share_link"",""สุราษฎร์ธานี!L472"")"),4311197)</f>
        <v>4311197</v>
      </c>
      <c r="M472" s="93">
        <f ca="1">IFERROR(__xludf.DUMMYFUNCTION("IMPORTRANGE(""https://docs.google.com/spreadsheets/d/1kC41EOXpGBFOW658Fs3oD8beYlym0-zO54WY-2Qnp9I/edit?usp=share_link"",""กระบี่!M472"")
+IMPORTRANGE(""https://docs.google.com/spreadsheets/d/1FbzMZY_f3MDiEuK7RpCQKrilJ_kpX0Wm7QBZ1L7EjIU/edit?usp=share_link"&amp;""",""ชุมพร!M472"")+IMPORTRANGE(""https://docs.google.com/spreadsheets/d/1v5sN-00LrXuhBxw4dkh2GrG_z4l5oAqOdJRBCsUyMaM/edit?usp=share_link"",""ตรัง!M472"")+IMPORTRANGE(""https://docs.google.com/spreadsheets/d/1T5rRTzFc79aSIvqnzkZNvwPstq829QYz_xALlO1Z0s8/edi"&amp;"t?usp=share_link"",""นครศรีธรรมราช!M472"")+IMPORTRANGE(""https://docs.google.com/spreadsheets/d/1BeghqumK0IvCmRd2QOy6_afsZq7ZtAGrSnVJy2u7WmY/edit?usp=share_link"",""นราธิวาส!M472"")+IMPORTRANGE(""https://docs.google.com/spreadsheets/d/1IwnW3-jjRf74MCLW-6P"&amp;"iFwMUffRQXZwZA7YM609NmRc/edit?usp=share_link"",""ปัตตานี!M472"")+IMPORTRANGE(""https://docs.google.com/spreadsheets/d/1vl4QWbWdFruual5o_wdo6ZSqXZ_it806oja4CctTLKs/edit?usp=share_link"",""พังงา!M472"")+IMPORTRANGE(""https://docs.google.com/spreadsheets/d/1"&amp;"b6QssHQp2FoAPSMKHOy273KNzAomaIKhtdlvuZ_zDNE/edit?usp=share_link"",""พัทลุง!M472"")+IMPORTRANGE(""https://docs.google.com/spreadsheets/d/1o7UZe4_OqlqtLDHrj01Z2YFRSZDf1DMy1n3XViHaxRc/edit?usp=share_link"",""ภูเก็ต!M472"")+IMPORTRANGE(""https://docs.google.c"&amp;"om/spreadsheets/d/1ctPm1vUzcUCPuOj9-eoHUD85PqINFqUB0TjdSWmR5-c/edit?usp=share_link"",""ยะลา!M472"")+IMPORTRANGE(""https://docs.google.com/spreadsheets/d/1YiDIE7Klmt8osgdapRqYWNr7iPGFSsiJqq46S7PYRE0/edit?usp=share_link"",""ระนอง!M472"")+IMPORTRANGE(""https"&amp;"://docs.google.com/spreadsheets/d/16o_4B-V7AWw_6E93bSpXj_XxVv1oVQctk-B6z1dNEWU/edit?usp=share_link"",""สงขลา!M472"")+IMPORTRANGE(""https://docs.google.com/spreadsheets/d/16cywr71Fj4fA5OGRHsZh30ZG2gwJhMAQv69oVBzYHv0/edit?usp=share_link"",""สตูล!M472"")+IMP"&amp;"ORTRANGE(""https://docs.google.com/spreadsheets/d/1vO9Sws6kMtrVtyvrAJptINXjK8TFBoX9xLYOVK_C8bQ/edit?usp=share_link"",""สุราษฎร์ธานี!M472"")"),4311197)</f>
        <v>4311197</v>
      </c>
      <c r="N472" s="45">
        <f ca="1">N473+N474+N475+N476</f>
        <v>2780287.9899999998</v>
      </c>
      <c r="O472" s="45">
        <f t="shared" ca="1" si="239"/>
        <v>64.489931450592493</v>
      </c>
      <c r="P472" s="45">
        <f t="shared" ca="1" si="240"/>
        <v>64.489931450592493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20.25" customHeight="1">
      <c r="A473" s="573"/>
      <c r="B473" s="574"/>
      <c r="C473" s="575"/>
      <c r="D473" s="575"/>
      <c r="E473" s="575"/>
      <c r="F473" s="576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IFERROR(__xludf.DUMMYFUNCTION("IMPORTRANGE(""https://docs.google.com/spreadsheets/d/1kC41EOXpGBFOW658Fs3oD8beYlym0-zO54WY-2Qnp9I/edit?usp=share_link"",""กระบี่!N473"")
+IMPORTRANGE(""https://docs.google.com/spreadsheets/d/1FbzMZY_f3MDiEuK7RpCQKrilJ_kpX0Wm7QBZ1L7EjIU/edit?usp=share_link"&amp;""",""ชุมพร!N473"")+IMPORTRANGE(""https://docs.google.com/spreadsheets/d/1v5sN-00LrXuhBxw4dkh2GrG_z4l5oAqOdJRBCsUyMaM/edit?usp=share_link"",""ตรัง!N473"")+IMPORTRANGE(""https://docs.google.com/spreadsheets/d/1T5rRTzFc79aSIvqnzkZNvwPstq829QYz_xALlO1Z0s8/edi"&amp;"t?usp=share_link"",""นครศรีธรรมราช!N473"")+IMPORTRANGE(""https://docs.google.com/spreadsheets/d/1BeghqumK0IvCmRd2QOy6_afsZq7ZtAGrSnVJy2u7WmY/edit?usp=share_link"",""นราธิวาส!N473"")+IMPORTRANGE(""https://docs.google.com/spreadsheets/d/1IwnW3-jjRf74MCLW-6P"&amp;"iFwMUffRQXZwZA7YM609NmRc/edit?usp=share_link"",""ปัตตานี!N473"")+IMPORTRANGE(""https://docs.google.com/spreadsheets/d/1vl4QWbWdFruual5o_wdo6ZSqXZ_it806oja4CctTLKs/edit?usp=share_link"",""พังงา!N473"")+IMPORTRANGE(""https://docs.google.com/spreadsheets/d/1"&amp;"b6QssHQp2FoAPSMKHOy273KNzAomaIKhtdlvuZ_zDNE/edit?usp=share_link"",""พัทลุง!N473"")+IMPORTRANGE(""https://docs.google.com/spreadsheets/d/1o7UZe4_OqlqtLDHrj01Z2YFRSZDf1DMy1n3XViHaxRc/edit?usp=share_link"",""ภูเก็ต!N473"")+IMPORTRANGE(""https://docs.google.c"&amp;"om/spreadsheets/d/1ctPm1vUzcUCPuOj9-eoHUD85PqINFqUB0TjdSWmR5-c/edit?usp=share_link"",""ยะลา!N473"")+IMPORTRANGE(""https://docs.google.com/spreadsheets/d/1YiDIE7Klmt8osgdapRqYWNr7iPGFSsiJqq46S7PYRE0/edit?usp=share_link"",""ระนอง!N473"")+IMPORTRANGE(""https"&amp;"://docs.google.com/spreadsheets/d/16o_4B-V7AWw_6E93bSpXj_XxVv1oVQctk-B6z1dNEWU/edit?usp=share_link"",""สงขลา!N473"")+IMPORTRANGE(""https://docs.google.com/spreadsheets/d/16cywr71Fj4fA5OGRHsZh30ZG2gwJhMAQv69oVBzYHv0/edit?usp=share_link"",""สตูล!N473"")+IMP"&amp;"ORTRANGE(""https://docs.google.com/spreadsheets/d/1vO9Sws6kMtrVtyvrAJptINXjK8TFBoX9xLYOVK_C8bQ/edit?usp=share_link"",""สุราษฎร์ธานี!N473"")"),683856.72)</f>
        <v>683856.72</v>
      </c>
      <c r="O473" s="38"/>
      <c r="P473" s="3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20.25" customHeight="1">
      <c r="A474" s="573"/>
      <c r="B474" s="574"/>
      <c r="C474" s="575"/>
      <c r="D474" s="575"/>
      <c r="E474" s="575"/>
      <c r="F474" s="576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IFERROR(__xludf.DUMMYFUNCTION("IMPORTRANGE(""https://docs.google.com/spreadsheets/d/1kC41EOXpGBFOW658Fs3oD8beYlym0-zO54WY-2Qnp9I/edit?usp=share_link"",""กระบี่!N474"")
+IMPORTRANGE(""https://docs.google.com/spreadsheets/d/1FbzMZY_f3MDiEuK7RpCQKrilJ_kpX0Wm7QBZ1L7EjIU/edit?usp=share_link"&amp;""",""ชุมพร!N474"")+IMPORTRANGE(""https://docs.google.com/spreadsheets/d/1v5sN-00LrXuhBxw4dkh2GrG_z4l5oAqOdJRBCsUyMaM/edit?usp=share_link"",""ตรัง!N474"")+IMPORTRANGE(""https://docs.google.com/spreadsheets/d/1T5rRTzFc79aSIvqnzkZNvwPstq829QYz_xALlO1Z0s8/edi"&amp;"t?usp=share_link"",""นครศรีธรรมราช!N474"")+IMPORTRANGE(""https://docs.google.com/spreadsheets/d/1BeghqumK0IvCmRd2QOy6_afsZq7ZtAGrSnVJy2u7WmY/edit?usp=share_link"",""นราธิวาส!N474"")+IMPORTRANGE(""https://docs.google.com/spreadsheets/d/1IwnW3-jjRf74MCLW-6P"&amp;"iFwMUffRQXZwZA7YM609NmRc/edit?usp=share_link"",""ปัตตานี!N474"")+IMPORTRANGE(""https://docs.google.com/spreadsheets/d/1vl4QWbWdFruual5o_wdo6ZSqXZ_it806oja4CctTLKs/edit?usp=share_link"",""พังงา!N474"")+IMPORTRANGE(""https://docs.google.com/spreadsheets/d/1"&amp;"b6QssHQp2FoAPSMKHOy273KNzAomaIKhtdlvuZ_zDNE/edit?usp=share_link"",""พัทลุง!N474"")+IMPORTRANGE(""https://docs.google.com/spreadsheets/d/1o7UZe4_OqlqtLDHrj01Z2YFRSZDf1DMy1n3XViHaxRc/edit?usp=share_link"",""ภูเก็ต!N474"")+IMPORTRANGE(""https://docs.google.c"&amp;"om/spreadsheets/d/1ctPm1vUzcUCPuOj9-eoHUD85PqINFqUB0TjdSWmR5-c/edit?usp=share_link"",""ยะลา!N474"")+IMPORTRANGE(""https://docs.google.com/spreadsheets/d/1YiDIE7Klmt8osgdapRqYWNr7iPGFSsiJqq46S7PYRE0/edit?usp=share_link"",""ระนอง!N474"")+IMPORTRANGE(""https"&amp;"://docs.google.com/spreadsheets/d/16o_4B-V7AWw_6E93bSpXj_XxVv1oVQctk-B6z1dNEWU/edit?usp=share_link"",""สงขลา!N474"")+IMPORTRANGE(""https://docs.google.com/spreadsheets/d/16cywr71Fj4fA5OGRHsZh30ZG2gwJhMAQv69oVBzYHv0/edit?usp=share_link"",""สตูล!N474"")+IMP"&amp;"ORTRANGE(""https://docs.google.com/spreadsheets/d/1vO9Sws6kMtrVtyvrAJptINXjK8TFBoX9xLYOVK_C8bQ/edit?usp=share_link"",""สุราษฎร์ธานี!N474"")"),1712978)</f>
        <v>1712978</v>
      </c>
      <c r="O474" s="38"/>
      <c r="P474" s="3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20.25" customHeight="1">
      <c r="A475" s="573"/>
      <c r="B475" s="574"/>
      <c r="C475" s="574"/>
      <c r="D475" s="574"/>
      <c r="E475" s="574"/>
      <c r="F475" s="576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IFERROR(__xludf.DUMMYFUNCTION("IMPORTRANGE(""https://docs.google.com/spreadsheets/d/1kC41EOXpGBFOW658Fs3oD8beYlym0-zO54WY-2Qnp9I/edit?usp=share_link"",""กระบี่!N475"")
+IMPORTRANGE(""https://docs.google.com/spreadsheets/d/1FbzMZY_f3MDiEuK7RpCQKrilJ_kpX0Wm7QBZ1L7EjIU/edit?usp=share_link"&amp;""",""ชุมพร!N475"")+IMPORTRANGE(""https://docs.google.com/spreadsheets/d/1v5sN-00LrXuhBxw4dkh2GrG_z4l5oAqOdJRBCsUyMaM/edit?usp=share_link"",""ตรัง!N475"")+IMPORTRANGE(""https://docs.google.com/spreadsheets/d/1T5rRTzFc79aSIvqnzkZNvwPstq829QYz_xALlO1Z0s8/edi"&amp;"t?usp=share_link"",""นครศรีธรรมราช!N475"")+IMPORTRANGE(""https://docs.google.com/spreadsheets/d/1BeghqumK0IvCmRd2QOy6_afsZq7ZtAGrSnVJy2u7WmY/edit?usp=share_link"",""นราธิวาส!N475"")+IMPORTRANGE(""https://docs.google.com/spreadsheets/d/1IwnW3-jjRf74MCLW-6P"&amp;"iFwMUffRQXZwZA7YM609NmRc/edit?usp=share_link"",""ปัตตานี!N475"")+IMPORTRANGE(""https://docs.google.com/spreadsheets/d/1vl4QWbWdFruual5o_wdo6ZSqXZ_it806oja4CctTLKs/edit?usp=share_link"",""พังงา!N475"")+IMPORTRANGE(""https://docs.google.com/spreadsheets/d/1"&amp;"b6QssHQp2FoAPSMKHOy273KNzAomaIKhtdlvuZ_zDNE/edit?usp=share_link"",""พัทลุง!N475"")+IMPORTRANGE(""https://docs.google.com/spreadsheets/d/1o7UZe4_OqlqtLDHrj01Z2YFRSZDf1DMy1n3XViHaxRc/edit?usp=share_link"",""ภูเก็ต!N475"")+IMPORTRANGE(""https://docs.google.c"&amp;"om/spreadsheets/d/1ctPm1vUzcUCPuOj9-eoHUD85PqINFqUB0TjdSWmR5-c/edit?usp=share_link"",""ยะลา!N475"")+IMPORTRANGE(""https://docs.google.com/spreadsheets/d/1YiDIE7Klmt8osgdapRqYWNr7iPGFSsiJqq46S7PYRE0/edit?usp=share_link"",""ระนอง!N475"")+IMPORTRANGE(""https"&amp;"://docs.google.com/spreadsheets/d/16o_4B-V7AWw_6E93bSpXj_XxVv1oVQctk-B6z1dNEWU/edit?usp=share_link"",""สงขลา!N475"")+IMPORTRANGE(""https://docs.google.com/spreadsheets/d/16cywr71Fj4fA5OGRHsZh30ZG2gwJhMAQv69oVBzYHv0/edit?usp=share_link"",""สตูล!N475"")+IMP"&amp;"ORTRANGE(""https://docs.google.com/spreadsheets/d/1vO9Sws6kMtrVtyvrAJptINXjK8TFBoX9xLYOVK_C8bQ/edit?usp=share_link"",""สุราษฎร์ธานี!N475"")"),91500)</f>
        <v>91500</v>
      </c>
      <c r="O475" s="38"/>
      <c r="P475" s="3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20.25" customHeight="1">
      <c r="A476" s="573"/>
      <c r="B476" s="574"/>
      <c r="C476" s="574"/>
      <c r="D476" s="574"/>
      <c r="E476" s="574"/>
      <c r="F476" s="576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IFERROR(__xludf.DUMMYFUNCTION("IMPORTRANGE(""https://docs.google.com/spreadsheets/d/1kC41EOXpGBFOW658Fs3oD8beYlym0-zO54WY-2Qnp9I/edit?usp=share_link"",""กระบี่!N476"")
+IMPORTRANGE(""https://docs.google.com/spreadsheets/d/1FbzMZY_f3MDiEuK7RpCQKrilJ_kpX0Wm7QBZ1L7EjIU/edit?usp=share_link"&amp;""",""ชุมพร!N476"")+IMPORTRANGE(""https://docs.google.com/spreadsheets/d/1v5sN-00LrXuhBxw4dkh2GrG_z4l5oAqOdJRBCsUyMaM/edit?usp=share_link"",""ตรัง!N476"")+IMPORTRANGE(""https://docs.google.com/spreadsheets/d/1T5rRTzFc79aSIvqnzkZNvwPstq829QYz_xALlO1Z0s8/edi"&amp;"t?usp=share_link"",""นครศรีธรรมราช!N476"")+IMPORTRANGE(""https://docs.google.com/spreadsheets/d/1BeghqumK0IvCmRd2QOy6_afsZq7ZtAGrSnVJy2u7WmY/edit?usp=share_link"",""นราธิวาส!N476"")+IMPORTRANGE(""https://docs.google.com/spreadsheets/d/1IwnW3-jjRf74MCLW-6P"&amp;"iFwMUffRQXZwZA7YM609NmRc/edit?usp=share_link"",""ปัตตานี!N476"")+IMPORTRANGE(""https://docs.google.com/spreadsheets/d/1vl4QWbWdFruual5o_wdo6ZSqXZ_it806oja4CctTLKs/edit?usp=share_link"",""พังงา!N476"")+IMPORTRANGE(""https://docs.google.com/spreadsheets/d/1"&amp;"b6QssHQp2FoAPSMKHOy273KNzAomaIKhtdlvuZ_zDNE/edit?usp=share_link"",""พัทลุง!N476"")+IMPORTRANGE(""https://docs.google.com/spreadsheets/d/1o7UZe4_OqlqtLDHrj01Z2YFRSZDf1DMy1n3XViHaxRc/edit?usp=share_link"",""ภูเก็ต!N476"")+IMPORTRANGE(""https://docs.google.c"&amp;"om/spreadsheets/d/1ctPm1vUzcUCPuOj9-eoHUD85PqINFqUB0TjdSWmR5-c/edit?usp=share_link"",""ยะลา!N476"")+IMPORTRANGE(""https://docs.google.com/spreadsheets/d/1YiDIE7Klmt8osgdapRqYWNr7iPGFSsiJqq46S7PYRE0/edit?usp=share_link"",""ระนอง!N476"")+IMPORTRANGE(""https"&amp;"://docs.google.com/spreadsheets/d/16o_4B-V7AWw_6E93bSpXj_XxVv1oVQctk-B6z1dNEWU/edit?usp=share_link"",""สงขลา!N476"")+IMPORTRANGE(""https://docs.google.com/spreadsheets/d/16cywr71Fj4fA5OGRHsZh30ZG2gwJhMAQv69oVBzYHv0/edit?usp=share_link"",""สตูล!N476"")+IMP"&amp;"ORTRANGE(""https://docs.google.com/spreadsheets/d/1vO9Sws6kMtrVtyvrAJptINXjK8TFBoX9xLYOVK_C8bQ/edit?usp=share_link"",""สุราษฎร์ธานี!N476"")"),291953.27)</f>
        <v>291953.27</v>
      </c>
      <c r="O476" s="38"/>
      <c r="P476" s="3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20.25" customHeight="1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20.25" hidden="1" customHeight="1">
      <c r="A478" s="598"/>
      <c r="B478" s="604"/>
      <c r="C478" s="604"/>
      <c r="D478" s="604"/>
      <c r="E478" s="606" t="s">
        <v>18</v>
      </c>
      <c r="F478" s="604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20.25" hidden="1" customHeight="1">
      <c r="A479" s="598"/>
      <c r="B479" s="604"/>
      <c r="C479" s="604"/>
      <c r="D479" s="604"/>
      <c r="E479" s="606" t="s">
        <v>19</v>
      </c>
      <c r="F479" s="604"/>
      <c r="G479" s="602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IFERROR(__xludf.DUMMYFUNCTION("IMPORTRANGE(""https://docs.google.com/spreadsheets/d/1kC41EOXpGBFOW658Fs3oD8beYlym0-zO54WY-2Qnp9I/edit?usp=share_link"",""กระบี่!L479"")
+IMPORTRANGE(""https://docs.google.com/spreadsheets/d/1FbzMZY_f3MDiEuK7RpCQKrilJ_kpX0Wm7QBZ1L7EjIU/edit?usp=share_link"&amp;""",""ชุมพร!L479"")+IMPORTRANGE(""https://docs.google.com/spreadsheets/d/1v5sN-00LrXuhBxw4dkh2GrG_z4l5oAqOdJRBCsUyMaM/edit?usp=share_link"",""ตรัง!L479"")+IMPORTRANGE(""https://docs.google.com/spreadsheets/d/1T5rRTzFc79aSIvqnzkZNvwPstq829QYz_xALlO1Z0s8/edi"&amp;"t?usp=share_link"",""นครศรีธรรมราช!L479"")+IMPORTRANGE(""https://docs.google.com/spreadsheets/d/1BeghqumK0IvCmRd2QOy6_afsZq7ZtAGrSnVJy2u7WmY/edit?usp=share_link"",""นราธิวาส!L479"")+IMPORTRANGE(""https://docs.google.com/spreadsheets/d/1IwnW3-jjRf74MCLW-6P"&amp;"iFwMUffRQXZwZA7YM609NmRc/edit?usp=share_link"",""ปัตตานี!L479"")+IMPORTRANGE(""https://docs.google.com/spreadsheets/d/1vl4QWbWdFruual5o_wdo6ZSqXZ_it806oja4CctTLKs/edit?usp=share_link"",""พังงา!L479"")+IMPORTRANGE(""https://docs.google.com/spreadsheets/d/1"&amp;"b6QssHQp2FoAPSMKHOy273KNzAomaIKhtdlvuZ_zDNE/edit?usp=share_link"",""พัทลุง!L479"")+IMPORTRANGE(""https://docs.google.com/spreadsheets/d/1o7UZe4_OqlqtLDHrj01Z2YFRSZDf1DMy1n3XViHaxRc/edit?usp=share_link"",""ภูเก็ต!L479"")+IMPORTRANGE(""https://docs.google.c"&amp;"om/spreadsheets/d/1ctPm1vUzcUCPuOj9-eoHUD85PqINFqUB0TjdSWmR5-c/edit?usp=share_link"",""ยะลา!L479"")+IMPORTRANGE(""https://docs.google.com/spreadsheets/d/1YiDIE7Klmt8osgdapRqYWNr7iPGFSsiJqq46S7PYRE0/edit?usp=share_link"",""ระนอง!L479"")+IMPORTRANGE(""https"&amp;"://docs.google.com/spreadsheets/d/16o_4B-V7AWw_6E93bSpXj_XxVv1oVQctk-B6z1dNEWU/edit?usp=share_link"",""สงขลา!L479"")+IMPORTRANGE(""https://docs.google.com/spreadsheets/d/16cywr71Fj4fA5OGRHsZh30ZG2gwJhMAQv69oVBzYHv0/edit?usp=share_link"",""สตูล!L479"")+IMP"&amp;"ORTRANGE(""https://docs.google.com/spreadsheets/d/1vO9Sws6kMtrVtyvrAJptINXjK8TFBoX9xLYOVK_C8bQ/edit?usp=share_link"",""สุราษฎร์ธานี!L479"")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20.25" customHeight="1">
      <c r="A480" s="607"/>
      <c r="B480" s="608"/>
      <c r="C480" s="574" t="s">
        <v>16</v>
      </c>
      <c r="D480" s="620" t="s">
        <v>38</v>
      </c>
      <c r="E480" s="610"/>
      <c r="F480" s="611"/>
      <c r="G480" s="612"/>
      <c r="H480" s="175"/>
      <c r="I480" s="37"/>
      <c r="J480" s="37"/>
      <c r="K480" s="38"/>
      <c r="L480" s="38"/>
      <c r="M480" s="38"/>
      <c r="N480" s="38"/>
      <c r="O480" s="38"/>
      <c r="P480" s="3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20.25" customHeight="1">
      <c r="A481" s="607"/>
      <c r="B481" s="608"/>
      <c r="C481" s="608"/>
      <c r="D481" s="621" t="s">
        <v>207</v>
      </c>
      <c r="E481" s="608"/>
      <c r="F481" s="608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20.25" customHeight="1">
      <c r="A482" s="607"/>
      <c r="B482" s="608"/>
      <c r="C482" s="608"/>
      <c r="D482" s="608"/>
      <c r="E482" s="617" t="s">
        <v>208</v>
      </c>
      <c r="F482" s="608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20.25" customHeight="1">
      <c r="A483" s="607"/>
      <c r="B483" s="608"/>
      <c r="C483" s="608"/>
      <c r="D483" s="608"/>
      <c r="E483" s="608"/>
      <c r="F483" s="617" t="s">
        <v>209</v>
      </c>
      <c r="G483" s="175"/>
      <c r="H483" s="36" t="s">
        <v>46</v>
      </c>
      <c r="I483" s="37">
        <f ca="1">IFERROR(__xludf.DUMMYFUNCTION("IMPORTRANGE(""https://docs.google.com/spreadsheets/d/1kC41EOXpGBFOW658Fs3oD8beYlym0-zO54WY-2Qnp9I/edit?usp=share_link"",""กระบี่!I483"")
+IMPORTRANGE(""https://docs.google.com/spreadsheets/d/1FbzMZY_f3MDiEuK7RpCQKrilJ_kpX0Wm7QBZ1L7EjIU/edit?usp=share_link"&amp;""",""ชุมพร!I483"")+IMPORTRANGE(""https://docs.google.com/spreadsheets/d/1v5sN-00LrXuhBxw4dkh2GrG_z4l5oAqOdJRBCsUyMaM/edit?usp=share_link"",""ตรัง!I483"")+IMPORTRANGE(""https://docs.google.com/spreadsheets/d/1T5rRTzFc79aSIvqnzkZNvwPstq829QYz_xALlO1Z0s8/edi"&amp;"t?usp=share_link"",""นครศรีธรรมราช!I483"")+IMPORTRANGE(""https://docs.google.com/spreadsheets/d/1BeghqumK0IvCmRd2QOy6_afsZq7ZtAGrSnVJy2u7WmY/edit?usp=share_link"",""นราธิวาส!I483"")+IMPORTRANGE(""https://docs.google.com/spreadsheets/d/1IwnW3-jjRf74MCLW-6P"&amp;"iFwMUffRQXZwZA7YM609NmRc/edit?usp=share_link"",""ปัตตานี!I483"")+IMPORTRANGE(""https://docs.google.com/spreadsheets/d/1vl4QWbWdFruual5o_wdo6ZSqXZ_it806oja4CctTLKs/edit?usp=share_link"",""พังงา!I483"")+IMPORTRANGE(""https://docs.google.com/spreadsheets/d/1"&amp;"b6QssHQp2FoAPSMKHOy273KNzAomaIKhtdlvuZ_zDNE/edit?usp=share_link"",""พัทลุง!I483"")+IMPORTRANGE(""https://docs.google.com/spreadsheets/d/1o7UZe4_OqlqtLDHrj01Z2YFRSZDf1DMy1n3XViHaxRc/edit?usp=share_link"",""ภูเก็ต!I483"")+IMPORTRANGE(""https://docs.google.c"&amp;"om/spreadsheets/d/1ctPm1vUzcUCPuOj9-eoHUD85PqINFqUB0TjdSWmR5-c/edit?usp=share_link"",""ยะลา!I483"")+IMPORTRANGE(""https://docs.google.com/spreadsheets/d/1YiDIE7Klmt8osgdapRqYWNr7iPGFSsiJqq46S7PYRE0/edit?usp=share_link"",""ระนอง!I483"")+IMPORTRANGE(""https"&amp;"://docs.google.com/spreadsheets/d/16o_4B-V7AWw_6E93bSpXj_XxVv1oVQctk-B6z1dNEWU/edit?usp=share_link"",""สงขลา!I483"")+IMPORTRANGE(""https://docs.google.com/spreadsheets/d/16cywr71Fj4fA5OGRHsZh30ZG2gwJhMAQv69oVBzYHv0/edit?usp=share_link"",""สตูล!I483"")+IMP"&amp;"ORTRANGE(""https://docs.google.com/spreadsheets/d/1vO9Sws6kMtrVtyvrAJptINXjK8TFBoX9xLYOVK_C8bQ/edit?usp=share_link"",""สุราษฎร์ธานี!I483"")"),4320)</f>
        <v>4320</v>
      </c>
      <c r="J483" s="183">
        <f ca="1">IFERROR(__xludf.DUMMYFUNCTION("IMPORTRANGE(""https://docs.google.com/spreadsheets/d/1kC41EOXpGBFOW658Fs3oD8beYlym0-zO54WY-2Qnp9I/edit?usp=share_link"",""กระบี่!J483"")
+IMPORTRANGE(""https://docs.google.com/spreadsheets/d/1FbzMZY_f3MDiEuK7RpCQKrilJ_kpX0Wm7QBZ1L7EjIU/edit?usp=share_link"&amp;""",""ชุมพร!J483"")+IMPORTRANGE(""https://docs.google.com/spreadsheets/d/1v5sN-00LrXuhBxw4dkh2GrG_z4l5oAqOdJRBCsUyMaM/edit?usp=share_link"",""ตรัง!J483"")+IMPORTRANGE(""https://docs.google.com/spreadsheets/d/1T5rRTzFc79aSIvqnzkZNvwPstq829QYz_xALlO1Z0s8/edi"&amp;"t?usp=share_link"",""นครศรีธรรมราช!J483"")+IMPORTRANGE(""https://docs.google.com/spreadsheets/d/1BeghqumK0IvCmRd2QOy6_afsZq7ZtAGrSnVJy2u7WmY/edit?usp=share_link"",""นราธิวาส!J483"")+IMPORTRANGE(""https://docs.google.com/spreadsheets/d/1IwnW3-jjRf74MCLW-6P"&amp;"iFwMUffRQXZwZA7YM609NmRc/edit?usp=share_link"",""ปัตตานี!J483"")+IMPORTRANGE(""https://docs.google.com/spreadsheets/d/1vl4QWbWdFruual5o_wdo6ZSqXZ_it806oja4CctTLKs/edit?usp=share_link"",""พังงา!J483"")+IMPORTRANGE(""https://docs.google.com/spreadsheets/d/1"&amp;"b6QssHQp2FoAPSMKHOy273KNzAomaIKhtdlvuZ_zDNE/edit?usp=share_link"",""พัทลุง!J483"")+IMPORTRANGE(""https://docs.google.com/spreadsheets/d/1o7UZe4_OqlqtLDHrj01Z2YFRSZDf1DMy1n3XViHaxRc/edit?usp=share_link"",""ภูเก็ต!J483"")+IMPORTRANGE(""https://docs.google.c"&amp;"om/spreadsheets/d/1ctPm1vUzcUCPuOj9-eoHUD85PqINFqUB0TjdSWmR5-c/edit?usp=share_link"",""ยะลา!J483"")+IMPORTRANGE(""https://docs.google.com/spreadsheets/d/1YiDIE7Klmt8osgdapRqYWNr7iPGFSsiJqq46S7PYRE0/edit?usp=share_link"",""ระนอง!J483"")+IMPORTRANGE(""https"&amp;"://docs.google.com/spreadsheets/d/16o_4B-V7AWw_6E93bSpXj_XxVv1oVQctk-B6z1dNEWU/edit?usp=share_link"",""สงขลา!J483"")+IMPORTRANGE(""https://docs.google.com/spreadsheets/d/16cywr71Fj4fA5OGRHsZh30ZG2gwJhMAQv69oVBzYHv0/edit?usp=share_link"",""สตูล!J483"")+IMP"&amp;"ORTRANGE(""https://docs.google.com/spreadsheets/d/1vO9Sws6kMtrVtyvrAJptINXjK8TFBoX9xLYOVK_C8bQ/edit?usp=share_link"",""สุราษฎร์ธานี!J483"")"),4225)</f>
        <v>4225</v>
      </c>
      <c r="K483" s="38">
        <f ca="1">IF(I483&gt;0,J483*100/I483,0)</f>
        <v>97.800925925925924</v>
      </c>
      <c r="L483" s="38"/>
      <c r="M483" s="38"/>
      <c r="N483" s="38"/>
      <c r="O483" s="38"/>
      <c r="P483" s="3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20.25" customHeight="1">
      <c r="A484" s="607"/>
      <c r="B484" s="608"/>
      <c r="C484" s="608"/>
      <c r="D484" s="608"/>
      <c r="E484" s="608"/>
      <c r="F484" s="617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IFERROR(__xludf.DUMMYFUNCTION("IMPORTRANGE(""https://docs.google.com/spreadsheets/d/1kC41EOXpGBFOW658Fs3oD8beYlym0-zO54WY-2Qnp9I/edit?usp=share_link"",""กระบี่!J484"")
+IMPORTRANGE(""https://docs.google.com/spreadsheets/d/1FbzMZY_f3MDiEuK7RpCQKrilJ_kpX0Wm7QBZ1L7EjIU/edit?usp=share_link"&amp;""",""ชุมพร!J484"")+IMPORTRANGE(""https://docs.google.com/spreadsheets/d/1v5sN-00LrXuhBxw4dkh2GrG_z4l5oAqOdJRBCsUyMaM/edit?usp=share_link"",""ตรัง!J484"")+IMPORTRANGE(""https://docs.google.com/spreadsheets/d/1T5rRTzFc79aSIvqnzkZNvwPstq829QYz_xALlO1Z0s8/edi"&amp;"t?usp=share_link"",""นครศรีธรรมราช!J484"")+IMPORTRANGE(""https://docs.google.com/spreadsheets/d/1BeghqumK0IvCmRd2QOy6_afsZq7ZtAGrSnVJy2u7WmY/edit?usp=share_link"",""นราธิวาส!J484"")+IMPORTRANGE(""https://docs.google.com/spreadsheets/d/1IwnW3-jjRf74MCLW-6P"&amp;"iFwMUffRQXZwZA7YM609NmRc/edit?usp=share_link"",""ปัตตานี!J484"")+IMPORTRANGE(""https://docs.google.com/spreadsheets/d/1vl4QWbWdFruual5o_wdo6ZSqXZ_it806oja4CctTLKs/edit?usp=share_link"",""พังงา!J484"")+IMPORTRANGE(""https://docs.google.com/spreadsheets/d/1"&amp;"b6QssHQp2FoAPSMKHOy273KNzAomaIKhtdlvuZ_zDNE/edit?usp=share_link"",""พัทลุง!J484"")+IMPORTRANGE(""https://docs.google.com/spreadsheets/d/1o7UZe4_OqlqtLDHrj01Z2YFRSZDf1DMy1n3XViHaxRc/edit?usp=share_link"",""ภูเก็ต!J484"")+IMPORTRANGE(""https://docs.google.c"&amp;"om/spreadsheets/d/1ctPm1vUzcUCPuOj9-eoHUD85PqINFqUB0TjdSWmR5-c/edit?usp=share_link"",""ยะลา!J484"")+IMPORTRANGE(""https://docs.google.com/spreadsheets/d/1YiDIE7Klmt8osgdapRqYWNr7iPGFSsiJqq46S7PYRE0/edit?usp=share_link"",""ระนอง!J484"")+IMPORTRANGE(""https"&amp;"://docs.google.com/spreadsheets/d/16o_4B-V7AWw_6E93bSpXj_XxVv1oVQctk-B6z1dNEWU/edit?usp=share_link"",""สงขลา!J484"")+IMPORTRANGE(""https://docs.google.com/spreadsheets/d/16cywr71Fj4fA5OGRHsZh30ZG2gwJhMAQv69oVBzYHv0/edit?usp=share_link"",""สตูล!J484"")+IMP"&amp;"ORTRANGE(""https://docs.google.com/spreadsheets/d/1vO9Sws6kMtrVtyvrAJptINXjK8TFBoX9xLYOVK_C8bQ/edit?usp=share_link"",""สุราษฎร์ธานี!J484"")"),347)</f>
        <v>347</v>
      </c>
      <c r="K484" s="38"/>
      <c r="L484" s="38"/>
      <c r="M484" s="38"/>
      <c r="N484" s="38"/>
      <c r="O484" s="38"/>
      <c r="P484" s="3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20.25" customHeight="1">
      <c r="A485" s="607"/>
      <c r="B485" s="608"/>
      <c r="C485" s="608"/>
      <c r="D485" s="608"/>
      <c r="E485" s="608"/>
      <c r="F485" s="617" t="s">
        <v>211</v>
      </c>
      <c r="G485" s="175"/>
      <c r="H485" s="36" t="s">
        <v>35</v>
      </c>
      <c r="I485" s="37">
        <f ca="1">IFERROR(__xludf.DUMMYFUNCTION("IMPORTRANGE(""https://docs.google.com/spreadsheets/d/1kC41EOXpGBFOW658Fs3oD8beYlym0-zO54WY-2Qnp9I/edit?usp=share_link"",""กระบี่!I485"")
+IMPORTRANGE(""https://docs.google.com/spreadsheets/d/1FbzMZY_f3MDiEuK7RpCQKrilJ_kpX0Wm7QBZ1L7EjIU/edit?usp=share_link"&amp;""",""ชุมพร!I485"")+IMPORTRANGE(""https://docs.google.com/spreadsheets/d/1v5sN-00LrXuhBxw4dkh2GrG_z4l5oAqOdJRBCsUyMaM/edit?usp=share_link"",""ตรัง!I485"")+IMPORTRANGE(""https://docs.google.com/spreadsheets/d/1T5rRTzFc79aSIvqnzkZNvwPstq829QYz_xALlO1Z0s8/edi"&amp;"t?usp=share_link"",""นครศรีธรรมราช!I485"")+IMPORTRANGE(""https://docs.google.com/spreadsheets/d/1BeghqumK0IvCmRd2QOy6_afsZq7ZtAGrSnVJy2u7WmY/edit?usp=share_link"",""นราธิวาส!I485"")+IMPORTRANGE(""https://docs.google.com/spreadsheets/d/1IwnW3-jjRf74MCLW-6P"&amp;"iFwMUffRQXZwZA7YM609NmRc/edit?usp=share_link"",""ปัตตานี!I485"")+IMPORTRANGE(""https://docs.google.com/spreadsheets/d/1vl4QWbWdFruual5o_wdo6ZSqXZ_it806oja4CctTLKs/edit?usp=share_link"",""พังงา!I485"")+IMPORTRANGE(""https://docs.google.com/spreadsheets/d/1"&amp;"b6QssHQp2FoAPSMKHOy273KNzAomaIKhtdlvuZ_zDNE/edit?usp=share_link"",""พัทลุง!I485"")+IMPORTRANGE(""https://docs.google.com/spreadsheets/d/1o7UZe4_OqlqtLDHrj01Z2YFRSZDf1DMy1n3XViHaxRc/edit?usp=share_link"",""ภูเก็ต!I485"")+IMPORTRANGE(""https://docs.google.c"&amp;"om/spreadsheets/d/1ctPm1vUzcUCPuOj9-eoHUD85PqINFqUB0TjdSWmR5-c/edit?usp=share_link"",""ยะลา!I485"")+IMPORTRANGE(""https://docs.google.com/spreadsheets/d/1YiDIE7Klmt8osgdapRqYWNr7iPGFSsiJqq46S7PYRE0/edit?usp=share_link"",""ระนอง!I485"")+IMPORTRANGE(""https"&amp;"://docs.google.com/spreadsheets/d/16o_4B-V7AWw_6E93bSpXj_XxVv1oVQctk-B6z1dNEWU/edit?usp=share_link"",""สงขลา!I485"")+IMPORTRANGE(""https://docs.google.com/spreadsheets/d/16cywr71Fj4fA5OGRHsZh30ZG2gwJhMAQv69oVBzYHv0/edit?usp=share_link"",""สตูล!I485"")+IMP"&amp;"ORTRANGE(""https://docs.google.com/spreadsheets/d/1vO9Sws6kMtrVtyvrAJptINXjK8TFBoX9xLYOVK_C8bQ/edit?usp=share_link"",""สุราษฎร์ธานี!I485"")"),432)</f>
        <v>432</v>
      </c>
      <c r="J485" s="183">
        <f ca="1">IFERROR(__xludf.DUMMYFUNCTION("IMPORTRANGE(""https://docs.google.com/spreadsheets/d/1kC41EOXpGBFOW658Fs3oD8beYlym0-zO54WY-2Qnp9I/edit?usp=share_link"",""กระบี่!J485"")
+IMPORTRANGE(""https://docs.google.com/spreadsheets/d/1FbzMZY_f3MDiEuK7RpCQKrilJ_kpX0Wm7QBZ1L7EjIU/edit?usp=share_link"&amp;""",""ชุมพร!J485"")+IMPORTRANGE(""https://docs.google.com/spreadsheets/d/1v5sN-00LrXuhBxw4dkh2GrG_z4l5oAqOdJRBCsUyMaM/edit?usp=share_link"",""ตรัง!J485"")+IMPORTRANGE(""https://docs.google.com/spreadsheets/d/1T5rRTzFc79aSIvqnzkZNvwPstq829QYz_xALlO1Z0s8/edi"&amp;"t?usp=share_link"",""นครศรีธรรมราช!J485"")+IMPORTRANGE(""https://docs.google.com/spreadsheets/d/1BeghqumK0IvCmRd2QOy6_afsZq7ZtAGrSnVJy2u7WmY/edit?usp=share_link"",""นราธิวาส!J485"")+IMPORTRANGE(""https://docs.google.com/spreadsheets/d/1IwnW3-jjRf74MCLW-6P"&amp;"iFwMUffRQXZwZA7YM609NmRc/edit?usp=share_link"",""ปัตตานี!J485"")+IMPORTRANGE(""https://docs.google.com/spreadsheets/d/1vl4QWbWdFruual5o_wdo6ZSqXZ_it806oja4CctTLKs/edit?usp=share_link"",""พังงา!J485"")+IMPORTRANGE(""https://docs.google.com/spreadsheets/d/1"&amp;"b6QssHQp2FoAPSMKHOy273KNzAomaIKhtdlvuZ_zDNE/edit?usp=share_link"",""พัทลุง!J485"")+IMPORTRANGE(""https://docs.google.com/spreadsheets/d/1o7UZe4_OqlqtLDHrj01Z2YFRSZDf1DMy1n3XViHaxRc/edit?usp=share_link"",""ภูเก็ต!J485"")+IMPORTRANGE(""https://docs.google.c"&amp;"om/spreadsheets/d/1ctPm1vUzcUCPuOj9-eoHUD85PqINFqUB0TjdSWmR5-c/edit?usp=share_link"",""ยะลา!J485"")+IMPORTRANGE(""https://docs.google.com/spreadsheets/d/1YiDIE7Klmt8osgdapRqYWNr7iPGFSsiJqq46S7PYRE0/edit?usp=share_link"",""ระนอง!J485"")+IMPORTRANGE(""https"&amp;"://docs.google.com/spreadsheets/d/16o_4B-V7AWw_6E93bSpXj_XxVv1oVQctk-B6z1dNEWU/edit?usp=share_link"",""สงขลา!J485"")+IMPORTRANGE(""https://docs.google.com/spreadsheets/d/16cywr71Fj4fA5OGRHsZh30ZG2gwJhMAQv69oVBzYHv0/edit?usp=share_link"",""สตูล!J485"")+IMP"&amp;"ORTRANGE(""https://docs.google.com/spreadsheets/d/1vO9Sws6kMtrVtyvrAJptINXjK8TFBoX9xLYOVK_C8bQ/edit?usp=share_link"",""สุราษฎร์ธานี!J485"")"),437)</f>
        <v>437</v>
      </c>
      <c r="K485" s="38">
        <f ca="1">IF(I485&gt;0,J485*100/I485,0)</f>
        <v>101.1574074074074</v>
      </c>
      <c r="L485" s="38"/>
      <c r="M485" s="38"/>
      <c r="N485" s="38"/>
      <c r="O485" s="38"/>
      <c r="P485" s="3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20.25" customHeight="1">
      <c r="A486" s="607"/>
      <c r="B486" s="608"/>
      <c r="C486" s="608"/>
      <c r="D486" s="608"/>
      <c r="E486" s="617" t="s">
        <v>62</v>
      </c>
      <c r="F486" s="608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20.25" customHeight="1">
      <c r="A487" s="607"/>
      <c r="B487" s="608"/>
      <c r="C487" s="608"/>
      <c r="D487" s="608"/>
      <c r="E487" s="608"/>
      <c r="F487" s="617" t="s">
        <v>209</v>
      </c>
      <c r="G487" s="175"/>
      <c r="H487" s="36" t="s">
        <v>46</v>
      </c>
      <c r="I487" s="37">
        <f ca="1">IFERROR(__xludf.DUMMYFUNCTION("IMPORTRANGE(""https://docs.google.com/spreadsheets/d/1kC41EOXpGBFOW658Fs3oD8beYlym0-zO54WY-2Qnp9I/edit?usp=share_link"",""กระบี่!I487"")
+IMPORTRANGE(""https://docs.google.com/spreadsheets/d/1FbzMZY_f3MDiEuK7RpCQKrilJ_kpX0Wm7QBZ1L7EjIU/edit?usp=share_link"&amp;""",""ชุมพร!I487"")+IMPORTRANGE(""https://docs.google.com/spreadsheets/d/1v5sN-00LrXuhBxw4dkh2GrG_z4l5oAqOdJRBCsUyMaM/edit?usp=share_link"",""ตรัง!I487"")+IMPORTRANGE(""https://docs.google.com/spreadsheets/d/1T5rRTzFc79aSIvqnzkZNvwPstq829QYz_xALlO1Z0s8/edi"&amp;"t?usp=share_link"",""นครศรีธรรมราช!I487"")+IMPORTRANGE(""https://docs.google.com/spreadsheets/d/1BeghqumK0IvCmRd2QOy6_afsZq7ZtAGrSnVJy2u7WmY/edit?usp=share_link"",""นราธิวาส!I487"")+IMPORTRANGE(""https://docs.google.com/spreadsheets/d/1IwnW3-jjRf74MCLW-6P"&amp;"iFwMUffRQXZwZA7YM609NmRc/edit?usp=share_link"",""ปัตตานี!I487"")+IMPORTRANGE(""https://docs.google.com/spreadsheets/d/1vl4QWbWdFruual5o_wdo6ZSqXZ_it806oja4CctTLKs/edit?usp=share_link"",""พังงา!I487"")+IMPORTRANGE(""https://docs.google.com/spreadsheets/d/1"&amp;"b6QssHQp2FoAPSMKHOy273KNzAomaIKhtdlvuZ_zDNE/edit?usp=share_link"",""พัทลุง!I487"")+IMPORTRANGE(""https://docs.google.com/spreadsheets/d/1o7UZe4_OqlqtLDHrj01Z2YFRSZDf1DMy1n3XViHaxRc/edit?usp=share_link"",""ภูเก็ต!I487"")+IMPORTRANGE(""https://docs.google.c"&amp;"om/spreadsheets/d/1ctPm1vUzcUCPuOj9-eoHUD85PqINFqUB0TjdSWmR5-c/edit?usp=share_link"",""ยะลา!I487"")+IMPORTRANGE(""https://docs.google.com/spreadsheets/d/1YiDIE7Klmt8osgdapRqYWNr7iPGFSsiJqq46S7PYRE0/edit?usp=share_link"",""ระนอง!I487"")+IMPORTRANGE(""https"&amp;"://docs.google.com/spreadsheets/d/16o_4B-V7AWw_6E93bSpXj_XxVv1oVQctk-B6z1dNEWU/edit?usp=share_link"",""สงขลา!I487"")+IMPORTRANGE(""https://docs.google.com/spreadsheets/d/16cywr71Fj4fA5OGRHsZh30ZG2gwJhMAQv69oVBzYHv0/edit?usp=share_link"",""สตูล!I487"")+IMP"&amp;"ORTRANGE(""https://docs.google.com/spreadsheets/d/1vO9Sws6kMtrVtyvrAJptINXjK8TFBoX9xLYOVK_C8bQ/edit?usp=share_link"",""สุราษฎร์ธานี!I487"")"),480)</f>
        <v>480</v>
      </c>
      <c r="J487" s="183">
        <f ca="1">IFERROR(__xludf.DUMMYFUNCTION("IMPORTRANGE(""https://docs.google.com/spreadsheets/d/1kC41EOXpGBFOW658Fs3oD8beYlym0-zO54WY-2Qnp9I/edit?usp=share_link"",""กระบี่!J487"")
+IMPORTRANGE(""https://docs.google.com/spreadsheets/d/1FbzMZY_f3MDiEuK7RpCQKrilJ_kpX0Wm7QBZ1L7EjIU/edit?usp=share_link"&amp;""",""ชุมพร!J487"")+IMPORTRANGE(""https://docs.google.com/spreadsheets/d/1v5sN-00LrXuhBxw4dkh2GrG_z4l5oAqOdJRBCsUyMaM/edit?usp=share_link"",""ตรัง!J487"")+IMPORTRANGE(""https://docs.google.com/spreadsheets/d/1T5rRTzFc79aSIvqnzkZNvwPstq829QYz_xALlO1Z0s8/edi"&amp;"t?usp=share_link"",""นครศรีธรรมราช!J487"")+IMPORTRANGE(""https://docs.google.com/spreadsheets/d/1BeghqumK0IvCmRd2QOy6_afsZq7ZtAGrSnVJy2u7WmY/edit?usp=share_link"",""นราธิวาส!J487"")+IMPORTRANGE(""https://docs.google.com/spreadsheets/d/1IwnW3-jjRf74MCLW-6P"&amp;"iFwMUffRQXZwZA7YM609NmRc/edit?usp=share_link"",""ปัตตานี!J487"")+IMPORTRANGE(""https://docs.google.com/spreadsheets/d/1vl4QWbWdFruual5o_wdo6ZSqXZ_it806oja4CctTLKs/edit?usp=share_link"",""พังงา!J487"")+IMPORTRANGE(""https://docs.google.com/spreadsheets/d/1"&amp;"b6QssHQp2FoAPSMKHOy273KNzAomaIKhtdlvuZ_zDNE/edit?usp=share_link"",""พัทลุง!J487"")+IMPORTRANGE(""https://docs.google.com/spreadsheets/d/1o7UZe4_OqlqtLDHrj01Z2YFRSZDf1DMy1n3XViHaxRc/edit?usp=share_link"",""ภูเก็ต!J487"")+IMPORTRANGE(""https://docs.google.c"&amp;"om/spreadsheets/d/1ctPm1vUzcUCPuOj9-eoHUD85PqINFqUB0TjdSWmR5-c/edit?usp=share_link"",""ยะลา!J487"")+IMPORTRANGE(""https://docs.google.com/spreadsheets/d/1YiDIE7Klmt8osgdapRqYWNr7iPGFSsiJqq46S7PYRE0/edit?usp=share_link"",""ระนอง!J487"")+IMPORTRANGE(""https"&amp;"://docs.google.com/spreadsheets/d/16o_4B-V7AWw_6E93bSpXj_XxVv1oVQctk-B6z1dNEWU/edit?usp=share_link"",""สงขลา!J487"")+IMPORTRANGE(""https://docs.google.com/spreadsheets/d/16cywr71Fj4fA5OGRHsZh30ZG2gwJhMAQv69oVBzYHv0/edit?usp=share_link"",""สตูล!J487"")+IMP"&amp;"ORTRANGE(""https://docs.google.com/spreadsheets/d/1vO9Sws6kMtrVtyvrAJptINXjK8TFBoX9xLYOVK_C8bQ/edit?usp=share_link"",""สุราษฎร์ธานี!J487"")"),469)</f>
        <v>469</v>
      </c>
      <c r="K487" s="38">
        <f ca="1">IF(I487&gt;0,J487*100/I487,0)</f>
        <v>97.708333333333329</v>
      </c>
      <c r="L487" s="38"/>
      <c r="M487" s="38"/>
      <c r="N487" s="38"/>
      <c r="O487" s="38"/>
      <c r="P487" s="3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20.25" customHeight="1">
      <c r="A488" s="607"/>
      <c r="B488" s="608"/>
      <c r="C488" s="608"/>
      <c r="D488" s="608"/>
      <c r="E488" s="608"/>
      <c r="F488" s="617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IFERROR(__xludf.DUMMYFUNCTION("IMPORTRANGE(""https://docs.google.com/spreadsheets/d/1kC41EOXpGBFOW658Fs3oD8beYlym0-zO54WY-2Qnp9I/edit?usp=share_link"",""กระบี่!J488"")
+IMPORTRANGE(""https://docs.google.com/spreadsheets/d/1FbzMZY_f3MDiEuK7RpCQKrilJ_kpX0Wm7QBZ1L7EjIU/edit?usp=share_link"&amp;""",""ชุมพร!J488"")+IMPORTRANGE(""https://docs.google.com/spreadsheets/d/1v5sN-00LrXuhBxw4dkh2GrG_z4l5oAqOdJRBCsUyMaM/edit?usp=share_link"",""ตรัง!J488"")+IMPORTRANGE(""https://docs.google.com/spreadsheets/d/1T5rRTzFc79aSIvqnzkZNvwPstq829QYz_xALlO1Z0s8/edi"&amp;"t?usp=share_link"",""นครศรีธรรมราช!J488"")+IMPORTRANGE(""https://docs.google.com/spreadsheets/d/1BeghqumK0IvCmRd2QOy6_afsZq7ZtAGrSnVJy2u7WmY/edit?usp=share_link"",""นราธิวาส!J488"")+IMPORTRANGE(""https://docs.google.com/spreadsheets/d/1IwnW3-jjRf74MCLW-6P"&amp;"iFwMUffRQXZwZA7YM609NmRc/edit?usp=share_link"",""ปัตตานี!J488"")+IMPORTRANGE(""https://docs.google.com/spreadsheets/d/1vl4QWbWdFruual5o_wdo6ZSqXZ_it806oja4CctTLKs/edit?usp=share_link"",""พังงา!J488"")+IMPORTRANGE(""https://docs.google.com/spreadsheets/d/1"&amp;"b6QssHQp2FoAPSMKHOy273KNzAomaIKhtdlvuZ_zDNE/edit?usp=share_link"",""พัทลุง!J488"")+IMPORTRANGE(""https://docs.google.com/spreadsheets/d/1o7UZe4_OqlqtLDHrj01Z2YFRSZDf1DMy1n3XViHaxRc/edit?usp=share_link"",""ภูเก็ต!J488"")+IMPORTRANGE(""https://docs.google.c"&amp;"om/spreadsheets/d/1ctPm1vUzcUCPuOj9-eoHUD85PqINFqUB0TjdSWmR5-c/edit?usp=share_link"",""ยะลา!J488"")+IMPORTRANGE(""https://docs.google.com/spreadsheets/d/1YiDIE7Klmt8osgdapRqYWNr7iPGFSsiJqq46S7PYRE0/edit?usp=share_link"",""ระนอง!J488"")+IMPORTRANGE(""https"&amp;"://docs.google.com/spreadsheets/d/16o_4B-V7AWw_6E93bSpXj_XxVv1oVQctk-B6z1dNEWU/edit?usp=share_link"",""สงขลา!J488"")+IMPORTRANGE(""https://docs.google.com/spreadsheets/d/16cywr71Fj4fA5OGRHsZh30ZG2gwJhMAQv69oVBzYHv0/edit?usp=share_link"",""สตูล!J488"")+IMP"&amp;"ORTRANGE(""https://docs.google.com/spreadsheets/d/1vO9Sws6kMtrVtyvrAJptINXjK8TFBoX9xLYOVK_C8bQ/edit?usp=share_link"",""สุราษฎร์ธานี!J488"")"),42)</f>
        <v>42</v>
      </c>
      <c r="K488" s="38"/>
      <c r="L488" s="38"/>
      <c r="M488" s="38"/>
      <c r="N488" s="38"/>
      <c r="O488" s="38"/>
      <c r="P488" s="3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20.25" customHeight="1">
      <c r="A489" s="607"/>
      <c r="B489" s="608"/>
      <c r="C489" s="608"/>
      <c r="D489" s="608"/>
      <c r="E489" s="608"/>
      <c r="F489" s="617" t="s">
        <v>213</v>
      </c>
      <c r="G489" s="175"/>
      <c r="H489" s="622" t="s">
        <v>35</v>
      </c>
      <c r="I489" s="37">
        <f ca="1">IFERROR(__xludf.DUMMYFUNCTION("IMPORTRANGE(""https://docs.google.com/spreadsheets/d/1kC41EOXpGBFOW658Fs3oD8beYlym0-zO54WY-2Qnp9I/edit?usp=share_link"",""กระบี่!I489"")
+IMPORTRANGE(""https://docs.google.com/spreadsheets/d/1FbzMZY_f3MDiEuK7RpCQKrilJ_kpX0Wm7QBZ1L7EjIU/edit?usp=share_link"&amp;""",""ชุมพร!I489"")+IMPORTRANGE(""https://docs.google.com/spreadsheets/d/1v5sN-00LrXuhBxw4dkh2GrG_z4l5oAqOdJRBCsUyMaM/edit?usp=share_link"",""ตรัง!I489"")+IMPORTRANGE(""https://docs.google.com/spreadsheets/d/1T5rRTzFc79aSIvqnzkZNvwPstq829QYz_xALlO1Z0s8/edi"&amp;"t?usp=share_link"",""นครศรีธรรมราช!I489"")+IMPORTRANGE(""https://docs.google.com/spreadsheets/d/1BeghqumK0IvCmRd2QOy6_afsZq7ZtAGrSnVJy2u7WmY/edit?usp=share_link"",""นราธิวาส!I489"")+IMPORTRANGE(""https://docs.google.com/spreadsheets/d/1IwnW3-jjRf74MCLW-6P"&amp;"iFwMUffRQXZwZA7YM609NmRc/edit?usp=share_link"",""ปัตตานี!I489"")+IMPORTRANGE(""https://docs.google.com/spreadsheets/d/1vl4QWbWdFruual5o_wdo6ZSqXZ_it806oja4CctTLKs/edit?usp=share_link"",""พังงา!I489"")+IMPORTRANGE(""https://docs.google.com/spreadsheets/d/1"&amp;"b6QssHQp2FoAPSMKHOy273KNzAomaIKhtdlvuZ_zDNE/edit?usp=share_link"",""พัทลุง!I489"")+IMPORTRANGE(""https://docs.google.com/spreadsheets/d/1o7UZe4_OqlqtLDHrj01Z2YFRSZDf1DMy1n3XViHaxRc/edit?usp=share_link"",""ภูเก็ต!I489"")+IMPORTRANGE(""https://docs.google.c"&amp;"om/spreadsheets/d/1ctPm1vUzcUCPuOj9-eoHUD85PqINFqUB0TjdSWmR5-c/edit?usp=share_link"",""ยะลา!I489"")+IMPORTRANGE(""https://docs.google.com/spreadsheets/d/1YiDIE7Klmt8osgdapRqYWNr7iPGFSsiJqq46S7PYRE0/edit?usp=share_link"",""ระนอง!I489"")+IMPORTRANGE(""https"&amp;"://docs.google.com/spreadsheets/d/16o_4B-V7AWw_6E93bSpXj_XxVv1oVQctk-B6z1dNEWU/edit?usp=share_link"",""สงขลา!I489"")+IMPORTRANGE(""https://docs.google.com/spreadsheets/d/16cywr71Fj4fA5OGRHsZh30ZG2gwJhMAQv69oVBzYHv0/edit?usp=share_link"",""สตูล!I489"")+IMP"&amp;"ORTRANGE(""https://docs.google.com/spreadsheets/d/1vO9Sws6kMtrVtyvrAJptINXjK8TFBoX9xLYOVK_C8bQ/edit?usp=share_link"",""สุราษฎร์ธานี!I489"")"),48)</f>
        <v>48</v>
      </c>
      <c r="J489" s="183">
        <f ca="1">IFERROR(__xludf.DUMMYFUNCTION("IMPORTRANGE(""https://docs.google.com/spreadsheets/d/1kC41EOXpGBFOW658Fs3oD8beYlym0-zO54WY-2Qnp9I/edit?usp=share_link"",""กระบี่!J489"")
+IMPORTRANGE(""https://docs.google.com/spreadsheets/d/1FbzMZY_f3MDiEuK7RpCQKrilJ_kpX0Wm7QBZ1L7EjIU/edit?usp=share_link"&amp;""",""ชุมพร!J489"")+IMPORTRANGE(""https://docs.google.com/spreadsheets/d/1v5sN-00LrXuhBxw4dkh2GrG_z4l5oAqOdJRBCsUyMaM/edit?usp=share_link"",""ตรัง!J489"")+IMPORTRANGE(""https://docs.google.com/spreadsheets/d/1T5rRTzFc79aSIvqnzkZNvwPstq829QYz_xALlO1Z0s8/edi"&amp;"t?usp=share_link"",""นครศรีธรรมราช!J489"")+IMPORTRANGE(""https://docs.google.com/spreadsheets/d/1BeghqumK0IvCmRd2QOy6_afsZq7ZtAGrSnVJy2u7WmY/edit?usp=share_link"",""นราธิวาส!J489"")+IMPORTRANGE(""https://docs.google.com/spreadsheets/d/1IwnW3-jjRf74MCLW-6P"&amp;"iFwMUffRQXZwZA7YM609NmRc/edit?usp=share_link"",""ปัตตานี!J489"")+IMPORTRANGE(""https://docs.google.com/spreadsheets/d/1vl4QWbWdFruual5o_wdo6ZSqXZ_it806oja4CctTLKs/edit?usp=share_link"",""พังงา!J489"")+IMPORTRANGE(""https://docs.google.com/spreadsheets/d/1"&amp;"b6QssHQp2FoAPSMKHOy273KNzAomaIKhtdlvuZ_zDNE/edit?usp=share_link"",""พัทลุง!J489"")+IMPORTRANGE(""https://docs.google.com/spreadsheets/d/1o7UZe4_OqlqtLDHrj01Z2YFRSZDf1DMy1n3XViHaxRc/edit?usp=share_link"",""ภูเก็ต!J489"")+IMPORTRANGE(""https://docs.google.c"&amp;"om/spreadsheets/d/1ctPm1vUzcUCPuOj9-eoHUD85PqINFqUB0TjdSWmR5-c/edit?usp=share_link"",""ยะลา!J489"")+IMPORTRANGE(""https://docs.google.com/spreadsheets/d/1YiDIE7Klmt8osgdapRqYWNr7iPGFSsiJqq46S7PYRE0/edit?usp=share_link"",""ระนอง!J489"")+IMPORTRANGE(""https"&amp;"://docs.google.com/spreadsheets/d/16o_4B-V7AWw_6E93bSpXj_XxVv1oVQctk-B6z1dNEWU/edit?usp=share_link"",""สงขลา!J489"")+IMPORTRANGE(""https://docs.google.com/spreadsheets/d/16cywr71Fj4fA5OGRHsZh30ZG2gwJhMAQv69oVBzYHv0/edit?usp=share_link"",""สตูล!J489"")+IMP"&amp;"ORTRANGE(""https://docs.google.com/spreadsheets/d/1vO9Sws6kMtrVtyvrAJptINXjK8TFBoX9xLYOVK_C8bQ/edit?usp=share_link"",""สุราษฎร์ธานี!J489"")"),49)</f>
        <v>49</v>
      </c>
      <c r="K489" s="38">
        <f ca="1">IF(I489&gt;0,J489*100/I489,0)</f>
        <v>102.08333333333333</v>
      </c>
      <c r="L489" s="38"/>
      <c r="M489" s="38"/>
      <c r="N489" s="38"/>
      <c r="O489" s="38"/>
      <c r="P489" s="3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20.25" customHeight="1">
      <c r="A490" s="607"/>
      <c r="B490" s="608"/>
      <c r="C490" s="608"/>
      <c r="D490" s="608"/>
      <c r="E490" s="617" t="s">
        <v>63</v>
      </c>
      <c r="F490" s="623"/>
      <c r="G490" s="175"/>
      <c r="H490" s="622"/>
      <c r="I490" s="37"/>
      <c r="J490" s="37"/>
      <c r="K490" s="38"/>
      <c r="L490" s="38"/>
      <c r="M490" s="38"/>
      <c r="N490" s="38"/>
      <c r="O490" s="38"/>
      <c r="P490" s="3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20.25" customHeight="1">
      <c r="A491" s="607"/>
      <c r="B491" s="608"/>
      <c r="C491" s="608"/>
      <c r="D491" s="608"/>
      <c r="E491" s="608"/>
      <c r="F491" s="617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IFERROR(__xludf.DUMMYFUNCTION("IMPORTRANGE(""https://docs.google.com/spreadsheets/d/1kC41EOXpGBFOW658Fs3oD8beYlym0-zO54WY-2Qnp9I/edit?usp=share_link"",""กระบี่!J491"")
+IMPORTRANGE(""https://docs.google.com/spreadsheets/d/1FbzMZY_f3MDiEuK7RpCQKrilJ_kpX0Wm7QBZ1L7EjIU/edit?usp=share_link"&amp;""",""ชุมพร!J491"")+IMPORTRANGE(""https://docs.google.com/spreadsheets/d/1v5sN-00LrXuhBxw4dkh2GrG_z4l5oAqOdJRBCsUyMaM/edit?usp=share_link"",""ตรัง!J491"")+IMPORTRANGE(""https://docs.google.com/spreadsheets/d/1T5rRTzFc79aSIvqnzkZNvwPstq829QYz_xALlO1Z0s8/edi"&amp;"t?usp=share_link"",""นครศรีธรรมราช!J491"")+IMPORTRANGE(""https://docs.google.com/spreadsheets/d/1BeghqumK0IvCmRd2QOy6_afsZq7ZtAGrSnVJy2u7WmY/edit?usp=share_link"",""นราธิวาส!J491"")+IMPORTRANGE(""https://docs.google.com/spreadsheets/d/1IwnW3-jjRf74MCLW-6P"&amp;"iFwMUffRQXZwZA7YM609NmRc/edit?usp=share_link"",""ปัตตานี!J491"")+IMPORTRANGE(""https://docs.google.com/spreadsheets/d/1vl4QWbWdFruual5o_wdo6ZSqXZ_it806oja4CctTLKs/edit?usp=share_link"",""พังงา!J491"")+IMPORTRANGE(""https://docs.google.com/spreadsheets/d/1"&amp;"b6QssHQp2FoAPSMKHOy273KNzAomaIKhtdlvuZ_zDNE/edit?usp=share_link"",""พัทลุง!J491"")+IMPORTRANGE(""https://docs.google.com/spreadsheets/d/1o7UZe4_OqlqtLDHrj01Z2YFRSZDf1DMy1n3XViHaxRc/edit?usp=share_link"",""ภูเก็ต!J491"")+IMPORTRANGE(""https://docs.google.c"&amp;"om/spreadsheets/d/1ctPm1vUzcUCPuOj9-eoHUD85PqINFqUB0TjdSWmR5-c/edit?usp=share_link"",""ยะลา!J491"")+IMPORTRANGE(""https://docs.google.com/spreadsheets/d/1YiDIE7Klmt8osgdapRqYWNr7iPGFSsiJqq46S7PYRE0/edit?usp=share_link"",""ระนอง!J491"")+IMPORTRANGE(""https"&amp;"://docs.google.com/spreadsheets/d/16o_4B-V7AWw_6E93bSpXj_XxVv1oVQctk-B6z1dNEWU/edit?usp=share_link"",""สงขลา!J491"")+IMPORTRANGE(""https://docs.google.com/spreadsheets/d/16cywr71Fj4fA5OGRHsZh30ZG2gwJhMAQv69oVBzYHv0/edit?usp=share_link"",""สตูล!J491"")+IMP"&amp;"ORTRANGE(""https://docs.google.com/spreadsheets/d/1vO9Sws6kMtrVtyvrAJptINXjK8TFBoX9xLYOVK_C8bQ/edit?usp=share_link"",""สุราษฎร์ธานี!J491"")"),10)</f>
        <v>10</v>
      </c>
      <c r="K491" s="38"/>
      <c r="L491" s="38"/>
      <c r="M491" s="38"/>
      <c r="N491" s="38"/>
      <c r="O491" s="38"/>
      <c r="P491" s="3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20.25" customHeight="1">
      <c r="A492" s="607"/>
      <c r="B492" s="608"/>
      <c r="C492" s="608"/>
      <c r="D492" s="608"/>
      <c r="E492" s="608"/>
      <c r="F492" s="617" t="s">
        <v>215</v>
      </c>
      <c r="G492" s="175"/>
      <c r="H492" s="36" t="s">
        <v>35</v>
      </c>
      <c r="I492" s="37">
        <f ca="1">IFERROR(__xludf.DUMMYFUNCTION("IMPORTRANGE(""https://docs.google.com/spreadsheets/d/1kC41EOXpGBFOW658Fs3oD8beYlym0-zO54WY-2Qnp9I/edit?usp=share_link"",""กระบี่!I492"")
+IMPORTRANGE(""https://docs.google.com/spreadsheets/d/1FbzMZY_f3MDiEuK7RpCQKrilJ_kpX0Wm7QBZ1L7EjIU/edit?usp=share_link"&amp;""",""ชุมพร!I492"")+IMPORTRANGE(""https://docs.google.com/spreadsheets/d/1v5sN-00LrXuhBxw4dkh2GrG_z4l5oAqOdJRBCsUyMaM/edit?usp=share_link"",""ตรัง!I492"")+IMPORTRANGE(""https://docs.google.com/spreadsheets/d/1T5rRTzFc79aSIvqnzkZNvwPstq829QYz_xALlO1Z0s8/edi"&amp;"t?usp=share_link"",""นครศรีธรรมราช!I492"")+IMPORTRANGE(""https://docs.google.com/spreadsheets/d/1BeghqumK0IvCmRd2QOy6_afsZq7ZtAGrSnVJy2u7WmY/edit?usp=share_link"",""นราธิวาส!I492"")+IMPORTRANGE(""https://docs.google.com/spreadsheets/d/1IwnW3-jjRf74MCLW-6P"&amp;"iFwMUffRQXZwZA7YM609NmRc/edit?usp=share_link"",""ปัตตานี!I492"")+IMPORTRANGE(""https://docs.google.com/spreadsheets/d/1vl4QWbWdFruual5o_wdo6ZSqXZ_it806oja4CctTLKs/edit?usp=share_link"",""พังงา!I492"")+IMPORTRANGE(""https://docs.google.com/spreadsheets/d/1"&amp;"b6QssHQp2FoAPSMKHOy273KNzAomaIKhtdlvuZ_zDNE/edit?usp=share_link"",""พัทลุง!I492"")+IMPORTRANGE(""https://docs.google.com/spreadsheets/d/1o7UZe4_OqlqtLDHrj01Z2YFRSZDf1DMy1n3XViHaxRc/edit?usp=share_link"",""ภูเก็ต!I492"")+IMPORTRANGE(""https://docs.google.c"&amp;"om/spreadsheets/d/1ctPm1vUzcUCPuOj9-eoHUD85PqINFqUB0TjdSWmR5-c/edit?usp=share_link"",""ยะลา!I492"")+IMPORTRANGE(""https://docs.google.com/spreadsheets/d/1YiDIE7Klmt8osgdapRqYWNr7iPGFSsiJqq46S7PYRE0/edit?usp=share_link"",""ระนอง!I492"")+IMPORTRANGE(""https"&amp;"://docs.google.com/spreadsheets/d/16o_4B-V7AWw_6E93bSpXj_XxVv1oVQctk-B6z1dNEWU/edit?usp=share_link"",""สงขลา!I492"")+IMPORTRANGE(""https://docs.google.com/spreadsheets/d/16cywr71Fj4fA5OGRHsZh30ZG2gwJhMAQv69oVBzYHv0/edit?usp=share_link"",""สตูล!I492"")+IMP"&amp;"ORTRANGE(""https://docs.google.com/spreadsheets/d/1vO9Sws6kMtrVtyvrAJptINXjK8TFBoX9xLYOVK_C8bQ/edit?usp=share_link"",""สุราษฎร์ธานี!I492"")"),14)</f>
        <v>14</v>
      </c>
      <c r="J492" s="183">
        <f ca="1">IFERROR(__xludf.DUMMYFUNCTION("IMPORTRANGE(""https://docs.google.com/spreadsheets/d/1kC41EOXpGBFOW658Fs3oD8beYlym0-zO54WY-2Qnp9I/edit?usp=share_link"",""กระบี่!J492"")
+IMPORTRANGE(""https://docs.google.com/spreadsheets/d/1FbzMZY_f3MDiEuK7RpCQKrilJ_kpX0Wm7QBZ1L7EjIU/edit?usp=share_link"&amp;""",""ชุมพร!J492"")+IMPORTRANGE(""https://docs.google.com/spreadsheets/d/1v5sN-00LrXuhBxw4dkh2GrG_z4l5oAqOdJRBCsUyMaM/edit?usp=share_link"",""ตรัง!J492"")+IMPORTRANGE(""https://docs.google.com/spreadsheets/d/1T5rRTzFc79aSIvqnzkZNvwPstq829QYz_xALlO1Z0s8/edi"&amp;"t?usp=share_link"",""นครศรีธรรมราช!J492"")+IMPORTRANGE(""https://docs.google.com/spreadsheets/d/1BeghqumK0IvCmRd2QOy6_afsZq7ZtAGrSnVJy2u7WmY/edit?usp=share_link"",""นราธิวาส!J492"")+IMPORTRANGE(""https://docs.google.com/spreadsheets/d/1IwnW3-jjRf74MCLW-6P"&amp;"iFwMUffRQXZwZA7YM609NmRc/edit?usp=share_link"",""ปัตตานี!J492"")+IMPORTRANGE(""https://docs.google.com/spreadsheets/d/1vl4QWbWdFruual5o_wdo6ZSqXZ_it806oja4CctTLKs/edit?usp=share_link"",""พังงา!J492"")+IMPORTRANGE(""https://docs.google.com/spreadsheets/d/1"&amp;"b6QssHQp2FoAPSMKHOy273KNzAomaIKhtdlvuZ_zDNE/edit?usp=share_link"",""พัทลุง!J492"")+IMPORTRANGE(""https://docs.google.com/spreadsheets/d/1o7UZe4_OqlqtLDHrj01Z2YFRSZDf1DMy1n3XViHaxRc/edit?usp=share_link"",""ภูเก็ต!J492"")+IMPORTRANGE(""https://docs.google.c"&amp;"om/spreadsheets/d/1ctPm1vUzcUCPuOj9-eoHUD85PqINFqUB0TjdSWmR5-c/edit?usp=share_link"",""ยะลา!J492"")+IMPORTRANGE(""https://docs.google.com/spreadsheets/d/1YiDIE7Klmt8osgdapRqYWNr7iPGFSsiJqq46S7PYRE0/edit?usp=share_link"",""ระนอง!J492"")+IMPORTRANGE(""https"&amp;"://docs.google.com/spreadsheets/d/16o_4B-V7AWw_6E93bSpXj_XxVv1oVQctk-B6z1dNEWU/edit?usp=share_link"",""สงขลา!J492"")+IMPORTRANGE(""https://docs.google.com/spreadsheets/d/16cywr71Fj4fA5OGRHsZh30ZG2gwJhMAQv69oVBzYHv0/edit?usp=share_link"",""สตูล!J492"")+IMP"&amp;"ORTRANGE(""https://docs.google.com/spreadsheets/d/1vO9Sws6kMtrVtyvrAJptINXjK8TFBoX9xLYOVK_C8bQ/edit?usp=share_link"",""สุราษฎร์ธานี!J492"")"),14)</f>
        <v>14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20.25" customHeight="1">
      <c r="A493" s="607"/>
      <c r="B493" s="608"/>
      <c r="C493" s="608"/>
      <c r="D493" s="624" t="s">
        <v>59</v>
      </c>
      <c r="E493" s="608"/>
      <c r="F493" s="618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20.25" customHeight="1">
      <c r="A494" s="607"/>
      <c r="B494" s="608"/>
      <c r="C494" s="608"/>
      <c r="D494" s="608"/>
      <c r="E494" s="617" t="s">
        <v>208</v>
      </c>
      <c r="F494" s="618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20.25" customHeight="1">
      <c r="A495" s="607"/>
      <c r="B495" s="608"/>
      <c r="C495" s="608"/>
      <c r="D495" s="608"/>
      <c r="E495" s="608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IFERROR(__xludf.DUMMYFUNCTION("IMPORTRANGE(""https://docs.google.com/spreadsheets/d/1kC41EOXpGBFOW658Fs3oD8beYlym0-zO54WY-2Qnp9I/edit?usp=share_link"",""กระบี่!I495"")
+IMPORTRANGE(""https://docs.google.com/spreadsheets/d/1FbzMZY_f3MDiEuK7RpCQKrilJ_kpX0Wm7QBZ1L7EjIU/edit?usp=share_link"&amp;""",""ชุมพร!I495"")+IMPORTRANGE(""https://docs.google.com/spreadsheets/d/1v5sN-00LrXuhBxw4dkh2GrG_z4l5oAqOdJRBCsUyMaM/edit?usp=share_link"",""ตรัง!I495"")+IMPORTRANGE(""https://docs.google.com/spreadsheets/d/1T5rRTzFc79aSIvqnzkZNvwPstq829QYz_xALlO1Z0s8/edi"&amp;"t?usp=share_link"",""นครศรีธรรมราช!I495"")+IMPORTRANGE(""https://docs.google.com/spreadsheets/d/1BeghqumK0IvCmRd2QOy6_afsZq7ZtAGrSnVJy2u7WmY/edit?usp=share_link"",""นราธิวาส!I495"")+IMPORTRANGE(""https://docs.google.com/spreadsheets/d/1IwnW3-jjRf74MCLW-6P"&amp;"iFwMUffRQXZwZA7YM609NmRc/edit?usp=share_link"",""ปัตตานี!I495"")+IMPORTRANGE(""https://docs.google.com/spreadsheets/d/1vl4QWbWdFruual5o_wdo6ZSqXZ_it806oja4CctTLKs/edit?usp=share_link"",""พังงา!I495"")+IMPORTRANGE(""https://docs.google.com/spreadsheets/d/1"&amp;"b6QssHQp2FoAPSMKHOy273KNzAomaIKhtdlvuZ_zDNE/edit?usp=share_link"",""พัทลุง!I495"")+IMPORTRANGE(""https://docs.google.com/spreadsheets/d/1o7UZe4_OqlqtLDHrj01Z2YFRSZDf1DMy1n3XViHaxRc/edit?usp=share_link"",""ภูเก็ต!I495"")+IMPORTRANGE(""https://docs.google.c"&amp;"om/spreadsheets/d/1ctPm1vUzcUCPuOj9-eoHUD85PqINFqUB0TjdSWmR5-c/edit?usp=share_link"",""ยะลา!I495"")+IMPORTRANGE(""https://docs.google.com/spreadsheets/d/1YiDIE7Klmt8osgdapRqYWNr7iPGFSsiJqq46S7PYRE0/edit?usp=share_link"",""ระนอง!I495"")+IMPORTRANGE(""https"&amp;"://docs.google.com/spreadsheets/d/16o_4B-V7AWw_6E93bSpXj_XxVv1oVQctk-B6z1dNEWU/edit?usp=share_link"",""สงขลา!I495"")+IMPORTRANGE(""https://docs.google.com/spreadsheets/d/16cywr71Fj4fA5OGRHsZh30ZG2gwJhMAQv69oVBzYHv0/edit?usp=share_link"",""สตูล!I495"")+IMP"&amp;"ORTRANGE(""https://docs.google.com/spreadsheets/d/1vO9Sws6kMtrVtyvrAJptINXjK8TFBoX9xLYOVK_C8bQ/edit?usp=share_link"",""สุราษฎร์ธานี!I495"")"),4320)</f>
        <v>4320</v>
      </c>
      <c r="J495" s="183">
        <f ca="1">IFERROR(__xludf.DUMMYFUNCTION("IMPORTRANGE(""https://docs.google.com/spreadsheets/d/1kC41EOXpGBFOW658Fs3oD8beYlym0-zO54WY-2Qnp9I/edit?usp=share_link"",""กระบี่!J495"")
+IMPORTRANGE(""https://docs.google.com/spreadsheets/d/1FbzMZY_f3MDiEuK7RpCQKrilJ_kpX0Wm7QBZ1L7EjIU/edit?usp=share_link"&amp;""",""ชุมพร!J495"")+IMPORTRANGE(""https://docs.google.com/spreadsheets/d/1v5sN-00LrXuhBxw4dkh2GrG_z4l5oAqOdJRBCsUyMaM/edit?usp=share_link"",""ตรัง!J495"")+IMPORTRANGE(""https://docs.google.com/spreadsheets/d/1T5rRTzFc79aSIvqnzkZNvwPstq829QYz_xALlO1Z0s8/edi"&amp;"t?usp=share_link"",""นครศรีธรรมราช!J495"")+IMPORTRANGE(""https://docs.google.com/spreadsheets/d/1BeghqumK0IvCmRd2QOy6_afsZq7ZtAGrSnVJy2u7WmY/edit?usp=share_link"",""นราธิวาส!J495"")+IMPORTRANGE(""https://docs.google.com/spreadsheets/d/1IwnW3-jjRf74MCLW-6P"&amp;"iFwMUffRQXZwZA7YM609NmRc/edit?usp=share_link"",""ปัตตานี!J495"")+IMPORTRANGE(""https://docs.google.com/spreadsheets/d/1vl4QWbWdFruual5o_wdo6ZSqXZ_it806oja4CctTLKs/edit?usp=share_link"",""พังงา!J495"")+IMPORTRANGE(""https://docs.google.com/spreadsheets/d/1"&amp;"b6QssHQp2FoAPSMKHOy273KNzAomaIKhtdlvuZ_zDNE/edit?usp=share_link"",""พัทลุง!J495"")+IMPORTRANGE(""https://docs.google.com/spreadsheets/d/1o7UZe4_OqlqtLDHrj01Z2YFRSZDf1DMy1n3XViHaxRc/edit?usp=share_link"",""ภูเก็ต!J495"")+IMPORTRANGE(""https://docs.google.c"&amp;"om/spreadsheets/d/1ctPm1vUzcUCPuOj9-eoHUD85PqINFqUB0TjdSWmR5-c/edit?usp=share_link"",""ยะลา!J495"")+IMPORTRANGE(""https://docs.google.com/spreadsheets/d/1YiDIE7Klmt8osgdapRqYWNr7iPGFSsiJqq46S7PYRE0/edit?usp=share_link"",""ระนอง!J495"")+IMPORTRANGE(""https"&amp;"://docs.google.com/spreadsheets/d/16o_4B-V7AWw_6E93bSpXj_XxVv1oVQctk-B6z1dNEWU/edit?usp=share_link"",""สงขลา!J495"")+IMPORTRANGE(""https://docs.google.com/spreadsheets/d/16cywr71Fj4fA5OGRHsZh30ZG2gwJhMAQv69oVBzYHv0/edit?usp=share_link"",""สตูล!J495"")+IMP"&amp;"ORTRANGE(""https://docs.google.com/spreadsheets/d/1vO9Sws6kMtrVtyvrAJptINXjK8TFBoX9xLYOVK_C8bQ/edit?usp=share_link"",""สุราษฎร์ธานี!J495"")"),2410)</f>
        <v>2410</v>
      </c>
      <c r="K495" s="38">
        <f ca="1">IF(I495&gt;0,J495*100/I495,0)</f>
        <v>55.787037037037038</v>
      </c>
      <c r="L495" s="38"/>
      <c r="M495" s="38"/>
      <c r="N495" s="38"/>
      <c r="O495" s="38"/>
      <c r="P495" s="3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20.25" customHeight="1">
      <c r="A496" s="607"/>
      <c r="B496" s="608"/>
      <c r="C496" s="608"/>
      <c r="D496" s="608"/>
      <c r="E496" s="608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IFERROR(__xludf.DUMMYFUNCTION("IMPORTRANGE(""https://docs.google.com/spreadsheets/d/1kC41EOXpGBFOW658Fs3oD8beYlym0-zO54WY-2Qnp9I/edit?usp=share_link"",""กระบี่!J496"")
+IMPORTRANGE(""https://docs.google.com/spreadsheets/d/1FbzMZY_f3MDiEuK7RpCQKrilJ_kpX0Wm7QBZ1L7EjIU/edit?usp=share_link"&amp;""",""ชุมพร!J496"")+IMPORTRANGE(""https://docs.google.com/spreadsheets/d/1v5sN-00LrXuhBxw4dkh2GrG_z4l5oAqOdJRBCsUyMaM/edit?usp=share_link"",""ตรัง!J496"")+IMPORTRANGE(""https://docs.google.com/spreadsheets/d/1T5rRTzFc79aSIvqnzkZNvwPstq829QYz_xALlO1Z0s8/edi"&amp;"t?usp=share_link"",""นครศรีธรรมราช!J496"")+IMPORTRANGE(""https://docs.google.com/spreadsheets/d/1BeghqumK0IvCmRd2QOy6_afsZq7ZtAGrSnVJy2u7WmY/edit?usp=share_link"",""นราธิวาส!J496"")+IMPORTRANGE(""https://docs.google.com/spreadsheets/d/1IwnW3-jjRf74MCLW-6P"&amp;"iFwMUffRQXZwZA7YM609NmRc/edit?usp=share_link"",""ปัตตานี!J496"")+IMPORTRANGE(""https://docs.google.com/spreadsheets/d/1vl4QWbWdFruual5o_wdo6ZSqXZ_it806oja4CctTLKs/edit?usp=share_link"",""พังงา!J496"")+IMPORTRANGE(""https://docs.google.com/spreadsheets/d/1"&amp;"b6QssHQp2FoAPSMKHOy273KNzAomaIKhtdlvuZ_zDNE/edit?usp=share_link"",""พัทลุง!J496"")+IMPORTRANGE(""https://docs.google.com/spreadsheets/d/1o7UZe4_OqlqtLDHrj01Z2YFRSZDf1DMy1n3XViHaxRc/edit?usp=share_link"",""ภูเก็ต!J496"")+IMPORTRANGE(""https://docs.google.c"&amp;"om/spreadsheets/d/1ctPm1vUzcUCPuOj9-eoHUD85PqINFqUB0TjdSWmR5-c/edit?usp=share_link"",""ยะลา!J496"")+IMPORTRANGE(""https://docs.google.com/spreadsheets/d/1YiDIE7Klmt8osgdapRqYWNr7iPGFSsiJqq46S7PYRE0/edit?usp=share_link"",""ระนอง!J496"")+IMPORTRANGE(""https"&amp;"://docs.google.com/spreadsheets/d/16o_4B-V7AWw_6E93bSpXj_XxVv1oVQctk-B6z1dNEWU/edit?usp=share_link"",""สงขลา!J496"")+IMPORTRANGE(""https://docs.google.com/spreadsheets/d/16cywr71Fj4fA5OGRHsZh30ZG2gwJhMAQv69oVBzYHv0/edit?usp=share_link"",""สตูล!J496"")+IMP"&amp;"ORTRANGE(""https://docs.google.com/spreadsheets/d/1vO9Sws6kMtrVtyvrAJptINXjK8TFBoX9xLYOVK_C8bQ/edit?usp=share_link"",""สุราษฎร์ธานี!J496"")"),650)</f>
        <v>650</v>
      </c>
      <c r="K496" s="38"/>
      <c r="L496" s="38"/>
      <c r="M496" s="38"/>
      <c r="N496" s="38"/>
      <c r="O496" s="38"/>
      <c r="P496" s="3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20.25" customHeight="1">
      <c r="A497" s="607"/>
      <c r="B497" s="608"/>
      <c r="C497" s="608"/>
      <c r="D497" s="608"/>
      <c r="E497" s="617" t="s">
        <v>62</v>
      </c>
      <c r="F497" s="618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20.25" customHeight="1">
      <c r="A498" s="607"/>
      <c r="B498" s="608"/>
      <c r="C498" s="608"/>
      <c r="D498" s="608"/>
      <c r="E498" s="618"/>
      <c r="F498" s="625" t="s">
        <v>218</v>
      </c>
      <c r="G498" s="175"/>
      <c r="H498" s="36" t="s">
        <v>46</v>
      </c>
      <c r="I498" s="37">
        <f ca="1">IFERROR(__xludf.DUMMYFUNCTION("IMPORTRANGE(""https://docs.google.com/spreadsheets/d/1kC41EOXpGBFOW658Fs3oD8beYlym0-zO54WY-2Qnp9I/edit?usp=share_link"",""กระบี่!I498"")
+IMPORTRANGE(""https://docs.google.com/spreadsheets/d/1FbzMZY_f3MDiEuK7RpCQKrilJ_kpX0Wm7QBZ1L7EjIU/edit?usp=share_link"&amp;""",""ชุมพร!I498"")+IMPORTRANGE(""https://docs.google.com/spreadsheets/d/1v5sN-00LrXuhBxw4dkh2GrG_z4l5oAqOdJRBCsUyMaM/edit?usp=share_link"",""ตรัง!I498"")+IMPORTRANGE(""https://docs.google.com/spreadsheets/d/1T5rRTzFc79aSIvqnzkZNvwPstq829QYz_xALlO1Z0s8/edi"&amp;"t?usp=share_link"",""นครศรีธรรมราช!I498"")+IMPORTRANGE(""https://docs.google.com/spreadsheets/d/1BeghqumK0IvCmRd2QOy6_afsZq7ZtAGrSnVJy2u7WmY/edit?usp=share_link"",""นราธิวาส!I498"")+IMPORTRANGE(""https://docs.google.com/spreadsheets/d/1IwnW3-jjRf74MCLW-6P"&amp;"iFwMUffRQXZwZA7YM609NmRc/edit?usp=share_link"",""ปัตตานี!I498"")+IMPORTRANGE(""https://docs.google.com/spreadsheets/d/1vl4QWbWdFruual5o_wdo6ZSqXZ_it806oja4CctTLKs/edit?usp=share_link"",""พังงา!I498"")+IMPORTRANGE(""https://docs.google.com/spreadsheets/d/1"&amp;"b6QssHQp2FoAPSMKHOy273KNzAomaIKhtdlvuZ_zDNE/edit?usp=share_link"",""พัทลุง!I498"")+IMPORTRANGE(""https://docs.google.com/spreadsheets/d/1o7UZe4_OqlqtLDHrj01Z2YFRSZDf1DMy1n3XViHaxRc/edit?usp=share_link"",""ภูเก็ต!I498"")+IMPORTRANGE(""https://docs.google.c"&amp;"om/spreadsheets/d/1ctPm1vUzcUCPuOj9-eoHUD85PqINFqUB0TjdSWmR5-c/edit?usp=share_link"",""ยะลา!I498"")+IMPORTRANGE(""https://docs.google.com/spreadsheets/d/1YiDIE7Klmt8osgdapRqYWNr7iPGFSsiJqq46S7PYRE0/edit?usp=share_link"",""ระนอง!I498"")+IMPORTRANGE(""https"&amp;"://docs.google.com/spreadsheets/d/16o_4B-V7AWw_6E93bSpXj_XxVv1oVQctk-B6z1dNEWU/edit?usp=share_link"",""สงขลา!I498"")+IMPORTRANGE(""https://docs.google.com/spreadsheets/d/16cywr71Fj4fA5OGRHsZh30ZG2gwJhMAQv69oVBzYHv0/edit?usp=share_link"",""สตูล!I498"")+IMP"&amp;"ORTRANGE(""https://docs.google.com/spreadsheets/d/1vO9Sws6kMtrVtyvrAJptINXjK8TFBoX9xLYOVK_C8bQ/edit?usp=share_link"",""สุราษฎร์ธานี!I498"")"),480)</f>
        <v>480</v>
      </c>
      <c r="J498" s="183">
        <f ca="1">IFERROR(__xludf.DUMMYFUNCTION("IMPORTRANGE(""https://docs.google.com/spreadsheets/d/1kC41EOXpGBFOW658Fs3oD8beYlym0-zO54WY-2Qnp9I/edit?usp=share_link"",""กระบี่!J498"")
+IMPORTRANGE(""https://docs.google.com/spreadsheets/d/1FbzMZY_f3MDiEuK7RpCQKrilJ_kpX0Wm7QBZ1L7EjIU/edit?usp=share_link"&amp;""",""ชุมพร!J498"")+IMPORTRANGE(""https://docs.google.com/spreadsheets/d/1v5sN-00LrXuhBxw4dkh2GrG_z4l5oAqOdJRBCsUyMaM/edit?usp=share_link"",""ตรัง!J498"")+IMPORTRANGE(""https://docs.google.com/spreadsheets/d/1T5rRTzFc79aSIvqnzkZNvwPstq829QYz_xALlO1Z0s8/edi"&amp;"t?usp=share_link"",""นครศรีธรรมราช!J498"")+IMPORTRANGE(""https://docs.google.com/spreadsheets/d/1BeghqumK0IvCmRd2QOy6_afsZq7ZtAGrSnVJy2u7WmY/edit?usp=share_link"",""นราธิวาส!J498"")+IMPORTRANGE(""https://docs.google.com/spreadsheets/d/1IwnW3-jjRf74MCLW-6P"&amp;"iFwMUffRQXZwZA7YM609NmRc/edit?usp=share_link"",""ปัตตานี!J498"")+IMPORTRANGE(""https://docs.google.com/spreadsheets/d/1vl4QWbWdFruual5o_wdo6ZSqXZ_it806oja4CctTLKs/edit?usp=share_link"",""พังงา!J498"")+IMPORTRANGE(""https://docs.google.com/spreadsheets/d/1"&amp;"b6QssHQp2FoAPSMKHOy273KNzAomaIKhtdlvuZ_zDNE/edit?usp=share_link"",""พัทลุง!J498"")+IMPORTRANGE(""https://docs.google.com/spreadsheets/d/1o7UZe4_OqlqtLDHrj01Z2YFRSZDf1DMy1n3XViHaxRc/edit?usp=share_link"",""ภูเก็ต!J498"")+IMPORTRANGE(""https://docs.google.c"&amp;"om/spreadsheets/d/1ctPm1vUzcUCPuOj9-eoHUD85PqINFqUB0TjdSWmR5-c/edit?usp=share_link"",""ยะลา!J498"")+IMPORTRANGE(""https://docs.google.com/spreadsheets/d/1YiDIE7Klmt8osgdapRqYWNr7iPGFSsiJqq46S7PYRE0/edit?usp=share_link"",""ระนอง!J498"")+IMPORTRANGE(""https"&amp;"://docs.google.com/spreadsheets/d/16o_4B-V7AWw_6E93bSpXj_XxVv1oVQctk-B6z1dNEWU/edit?usp=share_link"",""สงขลา!J498"")+IMPORTRANGE(""https://docs.google.com/spreadsheets/d/16cywr71Fj4fA5OGRHsZh30ZG2gwJhMAQv69oVBzYHv0/edit?usp=share_link"",""สตูล!J498"")+IMP"&amp;"ORTRANGE(""https://docs.google.com/spreadsheets/d/1vO9Sws6kMtrVtyvrAJptINXjK8TFBoX9xLYOVK_C8bQ/edit?usp=share_link"",""สุราษฎร์ธานี!J498"")"),270)</f>
        <v>270</v>
      </c>
      <c r="K498" s="38">
        <f ca="1">IF(I498&gt;0,J498*100/I498,0)</f>
        <v>56.25</v>
      </c>
      <c r="L498" s="38"/>
      <c r="M498" s="38"/>
      <c r="N498" s="38"/>
      <c r="O498" s="38"/>
      <c r="P498" s="3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20.25" customHeight="1">
      <c r="A499" s="607"/>
      <c r="B499" s="608"/>
      <c r="C499" s="608"/>
      <c r="D499" s="608"/>
      <c r="E499" s="618"/>
      <c r="F499" s="625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IFERROR(__xludf.DUMMYFUNCTION("IMPORTRANGE(""https://docs.google.com/spreadsheets/d/1kC41EOXpGBFOW658Fs3oD8beYlym0-zO54WY-2Qnp9I/edit?usp=share_link"",""กระบี่!J499"")
+IMPORTRANGE(""https://docs.google.com/spreadsheets/d/1FbzMZY_f3MDiEuK7RpCQKrilJ_kpX0Wm7QBZ1L7EjIU/edit?usp=share_link"&amp;""",""ชุมพร!J499"")+IMPORTRANGE(""https://docs.google.com/spreadsheets/d/1v5sN-00LrXuhBxw4dkh2GrG_z4l5oAqOdJRBCsUyMaM/edit?usp=share_link"",""ตรัง!J499"")+IMPORTRANGE(""https://docs.google.com/spreadsheets/d/1T5rRTzFc79aSIvqnzkZNvwPstq829QYz_xALlO1Z0s8/edi"&amp;"t?usp=share_link"",""นครศรีธรรมราช!J499"")+IMPORTRANGE(""https://docs.google.com/spreadsheets/d/1BeghqumK0IvCmRd2QOy6_afsZq7ZtAGrSnVJy2u7WmY/edit?usp=share_link"",""นราธิวาส!J499"")+IMPORTRANGE(""https://docs.google.com/spreadsheets/d/1IwnW3-jjRf74MCLW-6P"&amp;"iFwMUffRQXZwZA7YM609NmRc/edit?usp=share_link"",""ปัตตานี!J499"")+IMPORTRANGE(""https://docs.google.com/spreadsheets/d/1vl4QWbWdFruual5o_wdo6ZSqXZ_it806oja4CctTLKs/edit?usp=share_link"",""พังงา!J499"")+IMPORTRANGE(""https://docs.google.com/spreadsheets/d/1"&amp;"b6QssHQp2FoAPSMKHOy273KNzAomaIKhtdlvuZ_zDNE/edit?usp=share_link"",""พัทลุง!J499"")+IMPORTRANGE(""https://docs.google.com/spreadsheets/d/1o7UZe4_OqlqtLDHrj01Z2YFRSZDf1DMy1n3XViHaxRc/edit?usp=share_link"",""ภูเก็ต!J499"")+IMPORTRANGE(""https://docs.google.c"&amp;"om/spreadsheets/d/1ctPm1vUzcUCPuOj9-eoHUD85PqINFqUB0TjdSWmR5-c/edit?usp=share_link"",""ยะลา!J499"")+IMPORTRANGE(""https://docs.google.com/spreadsheets/d/1YiDIE7Klmt8osgdapRqYWNr7iPGFSsiJqq46S7PYRE0/edit?usp=share_link"",""ระนอง!J499"")+IMPORTRANGE(""https"&amp;"://docs.google.com/spreadsheets/d/16o_4B-V7AWw_6E93bSpXj_XxVv1oVQctk-B6z1dNEWU/edit?usp=share_link"",""สงขลา!J499"")+IMPORTRANGE(""https://docs.google.com/spreadsheets/d/16cywr71Fj4fA5OGRHsZh30ZG2gwJhMAQv69oVBzYHv0/edit?usp=share_link"",""สตูล!J499"")+IMP"&amp;"ORTRANGE(""https://docs.google.com/spreadsheets/d/1vO9Sws6kMtrVtyvrAJptINXjK8TFBoX9xLYOVK_C8bQ/edit?usp=share_link"",""สุราษฎร์ธานี!J499"")"),70)</f>
        <v>70</v>
      </c>
      <c r="K499" s="38"/>
      <c r="L499" s="38"/>
      <c r="M499" s="38"/>
      <c r="N499" s="38"/>
      <c r="O499" s="38"/>
      <c r="P499" s="3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20.25" hidden="1" customHeight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47">J516</f>
        <v>0</v>
      </c>
      <c r="K500" s="633">
        <f t="shared" ref="K500:K501" si="248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20.25" hidden="1" customHeight="1">
      <c r="A501" s="635"/>
      <c r="B501" s="636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47"/>
        <v>0</v>
      </c>
      <c r="K501" s="642">
        <f t="shared" si="248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20.25" hidden="1" customHeight="1">
      <c r="A502" s="598"/>
      <c r="B502" s="599"/>
      <c r="C502" s="599" t="s">
        <v>16</v>
      </c>
      <c r="D502" s="849" t="s">
        <v>17</v>
      </c>
      <c r="E502" s="842"/>
      <c r="F502" s="842"/>
      <c r="G502" s="602"/>
      <c r="H502" s="645" t="s">
        <v>12</v>
      </c>
      <c r="I502" s="44"/>
      <c r="J502" s="44"/>
      <c r="K502" s="45"/>
      <c r="L502" s="646">
        <f t="shared" ref="L502:N502" si="249">L503+L504</f>
        <v>0</v>
      </c>
      <c r="M502" s="646">
        <f t="shared" si="249"/>
        <v>0</v>
      </c>
      <c r="N502" s="646">
        <f t="shared" si="249"/>
        <v>0</v>
      </c>
      <c r="O502" s="646">
        <f t="shared" ref="O502:O507" si="250">IF(L502&gt;0,N502*100/L502,0)</f>
        <v>0</v>
      </c>
      <c r="P502" s="646">
        <f t="shared" ref="P502:P507" si="251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20.25" hidden="1" customHeight="1">
      <c r="A503" s="598"/>
      <c r="B503" s="599"/>
      <c r="C503" s="599"/>
      <c r="D503" s="600"/>
      <c r="E503" s="601" t="s">
        <v>185</v>
      </c>
      <c r="F503" s="599"/>
      <c r="G503" s="602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20.25" hidden="1" customHeight="1">
      <c r="A504" s="598"/>
      <c r="B504" s="604"/>
      <c r="C504" s="599"/>
      <c r="D504" s="600"/>
      <c r="E504" s="601" t="s">
        <v>186</v>
      </c>
      <c r="F504" s="599"/>
      <c r="G504" s="602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20.25" hidden="1" customHeight="1">
      <c r="A505" s="598"/>
      <c r="B505" s="604"/>
      <c r="C505" s="599"/>
      <c r="D505" s="647" t="s">
        <v>20</v>
      </c>
      <c r="E505" s="599"/>
      <c r="F505" s="599"/>
      <c r="G505" s="602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20.25" hidden="1" customHeight="1">
      <c r="A506" s="598"/>
      <c r="B506" s="604"/>
      <c r="C506" s="599"/>
      <c r="D506" s="600"/>
      <c r="E506" s="601" t="s">
        <v>185</v>
      </c>
      <c r="F506" s="599"/>
      <c r="G506" s="602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20.25" hidden="1" customHeight="1">
      <c r="A507" s="598"/>
      <c r="B507" s="604"/>
      <c r="C507" s="599"/>
      <c r="D507" s="600"/>
      <c r="E507" s="601" t="s">
        <v>186</v>
      </c>
      <c r="F507" s="599"/>
      <c r="G507" s="602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20.25" hidden="1" customHeight="1">
      <c r="A508" s="648"/>
      <c r="B508" s="604"/>
      <c r="C508" s="599"/>
      <c r="D508" s="599"/>
      <c r="E508" s="599"/>
      <c r="F508" s="601" t="s">
        <v>187</v>
      </c>
      <c r="G508" s="602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20.25" hidden="1" customHeight="1">
      <c r="A509" s="648"/>
      <c r="B509" s="604"/>
      <c r="C509" s="599"/>
      <c r="D509" s="599"/>
      <c r="E509" s="599"/>
      <c r="F509" s="601" t="s">
        <v>188</v>
      </c>
      <c r="G509" s="602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20.25" hidden="1" customHeight="1">
      <c r="A510" s="648"/>
      <c r="B510" s="604"/>
      <c r="C510" s="604"/>
      <c r="D510" s="604"/>
      <c r="E510" s="599"/>
      <c r="F510" s="601" t="s">
        <v>189</v>
      </c>
      <c r="G510" s="602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20.25" hidden="1" customHeight="1">
      <c r="A511" s="648"/>
      <c r="B511" s="604"/>
      <c r="C511" s="604"/>
      <c r="D511" s="604"/>
      <c r="E511" s="599"/>
      <c r="F511" s="601" t="s">
        <v>190</v>
      </c>
      <c r="G511" s="602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20.25" hidden="1" customHeight="1">
      <c r="A512" s="598"/>
      <c r="B512" s="604"/>
      <c r="C512" s="604"/>
      <c r="D512" s="647" t="s">
        <v>21</v>
      </c>
      <c r="E512" s="604"/>
      <c r="F512" s="599"/>
      <c r="G512" s="602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20.25" hidden="1" customHeight="1">
      <c r="A513" s="598"/>
      <c r="B513" s="604"/>
      <c r="C513" s="604"/>
      <c r="D513" s="604"/>
      <c r="E513" s="606" t="s">
        <v>18</v>
      </c>
      <c r="F513" s="599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20.25" hidden="1" customHeight="1">
      <c r="A514" s="598"/>
      <c r="B514" s="604"/>
      <c r="C514" s="604"/>
      <c r="D514" s="599"/>
      <c r="E514" s="606" t="s">
        <v>19</v>
      </c>
      <c r="F514" s="599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20.25" hidden="1" customHeight="1">
      <c r="A515" s="613"/>
      <c r="B515" s="614"/>
      <c r="C515" s="604" t="s">
        <v>16</v>
      </c>
      <c r="D515" s="64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20.25" hidden="1" customHeight="1">
      <c r="A516" s="613"/>
      <c r="B516" s="614"/>
      <c r="C516" s="614"/>
      <c r="D516" s="615" t="s">
        <v>222</v>
      </c>
      <c r="E516" s="600"/>
      <c r="F516" s="600"/>
      <c r="G516" s="366"/>
      <c r="H516" s="652" t="s">
        <v>109</v>
      </c>
      <c r="I516" s="44"/>
      <c r="J516" s="616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20.25" hidden="1" customHeight="1">
      <c r="A517" s="613"/>
      <c r="B517" s="614"/>
      <c r="C517" s="614"/>
      <c r="D517" s="615" t="s">
        <v>223</v>
      </c>
      <c r="E517" s="600"/>
      <c r="F517" s="600"/>
      <c r="G517" s="366"/>
      <c r="H517" s="653" t="s">
        <v>35</v>
      </c>
      <c r="I517" s="654"/>
      <c r="J517" s="654">
        <f>J518+J519</f>
        <v>0</v>
      </c>
      <c r="K517" s="655">
        <f t="shared" si="258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20.25" hidden="1" customHeight="1">
      <c r="A518" s="613"/>
      <c r="B518" s="614"/>
      <c r="C518" s="614"/>
      <c r="D518" s="614"/>
      <c r="E518" s="615" t="s">
        <v>224</v>
      </c>
      <c r="F518" s="600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20.25" hidden="1" customHeight="1">
      <c r="A519" s="613"/>
      <c r="B519" s="614"/>
      <c r="C519" s="614"/>
      <c r="D519" s="614"/>
      <c r="E519" s="615" t="s">
        <v>225</v>
      </c>
      <c r="F519" s="600"/>
      <c r="G519" s="366"/>
      <c r="H519" s="652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20.25" customHeight="1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20.25" customHeight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20.25" customHeight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675">
        <f t="shared" ref="I522:J522" ca="1" si="259">I537</f>
        <v>190</v>
      </c>
      <c r="J522" s="675">
        <f t="shared" ca="1" si="259"/>
        <v>190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20.25" customHeight="1">
      <c r="A523" s="596"/>
      <c r="B523" s="575"/>
      <c r="C523" s="575" t="s">
        <v>16</v>
      </c>
      <c r="D523" s="848" t="s">
        <v>17</v>
      </c>
      <c r="E523" s="842"/>
      <c r="F523" s="842"/>
      <c r="G523" s="189"/>
      <c r="H523" s="597" t="s">
        <v>12</v>
      </c>
      <c r="I523" s="37"/>
      <c r="J523" s="37"/>
      <c r="K523" s="38"/>
      <c r="L523" s="195">
        <f t="shared" ref="L523:N523" ca="1" si="260">L524+L525</f>
        <v>1674740</v>
      </c>
      <c r="M523" s="195">
        <f t="shared" ca="1" si="260"/>
        <v>1674740</v>
      </c>
      <c r="N523" s="195">
        <f t="shared" ca="1" si="260"/>
        <v>979010</v>
      </c>
      <c r="O523" s="195">
        <f t="shared" ref="O523:O528" ca="1" si="261">IF(L523&gt;0,N523*100/L523,0)</f>
        <v>58.457432198430801</v>
      </c>
      <c r="P523" s="195">
        <f t="shared" ref="P523:P528" ca="1" si="262">IF(M523&gt;0,N523*100/M523,0)</f>
        <v>58.457432198430801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20.25" hidden="1" customHeight="1">
      <c r="A524" s="598"/>
      <c r="B524" s="599"/>
      <c r="C524" s="599"/>
      <c r="D524" s="600"/>
      <c r="E524" s="601" t="s">
        <v>185</v>
      </c>
      <c r="F524" s="599"/>
      <c r="G524" s="602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20.25" hidden="1" customHeight="1">
      <c r="A525" s="598"/>
      <c r="B525" s="604"/>
      <c r="C525" s="599"/>
      <c r="D525" s="600"/>
      <c r="E525" s="601" t="s">
        <v>186</v>
      </c>
      <c r="F525" s="599"/>
      <c r="G525" s="602"/>
      <c r="H525" s="165" t="s">
        <v>12</v>
      </c>
      <c r="I525" s="44"/>
      <c r="J525" s="44"/>
      <c r="K525" s="45"/>
      <c r="L525" s="45">
        <f t="shared" ref="L525:N525" ca="1" si="264">L528+L535</f>
        <v>1674740</v>
      </c>
      <c r="M525" s="45">
        <f t="shared" ca="1" si="264"/>
        <v>1674740</v>
      </c>
      <c r="N525" s="45">
        <f t="shared" ca="1" si="264"/>
        <v>979010</v>
      </c>
      <c r="O525" s="45">
        <f t="shared" ca="1" si="261"/>
        <v>58.457432198430801</v>
      </c>
      <c r="P525" s="45">
        <f t="shared" ca="1" si="262"/>
        <v>58.457432198430801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20.25" customHeight="1">
      <c r="A526" s="596"/>
      <c r="B526" s="574"/>
      <c r="C526" s="575"/>
      <c r="D526" s="605" t="s">
        <v>20</v>
      </c>
      <c r="E526" s="575"/>
      <c r="F526" s="575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1674740</v>
      </c>
      <c r="M526" s="38">
        <f t="shared" ca="1" si="265"/>
        <v>1674740</v>
      </c>
      <c r="N526" s="38">
        <f t="shared" ca="1" si="265"/>
        <v>979010</v>
      </c>
      <c r="O526" s="38">
        <f t="shared" ca="1" si="261"/>
        <v>58.457432198430801</v>
      </c>
      <c r="P526" s="38">
        <f t="shared" ca="1" si="262"/>
        <v>58.457432198430801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20.25" hidden="1" customHeight="1">
      <c r="A527" s="598"/>
      <c r="B527" s="604"/>
      <c r="C527" s="599"/>
      <c r="D527" s="600"/>
      <c r="E527" s="601" t="s">
        <v>185</v>
      </c>
      <c r="F527" s="599"/>
      <c r="G527" s="602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20.25" hidden="1" customHeight="1">
      <c r="A528" s="598"/>
      <c r="B528" s="604"/>
      <c r="C528" s="599"/>
      <c r="D528" s="600"/>
      <c r="E528" s="601" t="s">
        <v>186</v>
      </c>
      <c r="F528" s="599"/>
      <c r="G528" s="602"/>
      <c r="H528" s="165" t="s">
        <v>12</v>
      </c>
      <c r="I528" s="44"/>
      <c r="J528" s="44"/>
      <c r="K528" s="45"/>
      <c r="L528" s="45">
        <f ca="1">IFERROR(__xludf.DUMMYFUNCTION("IMPORTRANGE(""https://docs.google.com/spreadsheets/d/1kC41EOXpGBFOW658Fs3oD8beYlym0-zO54WY-2Qnp9I/edit?usp=share_link"",""กระบี่!L528"")
+IMPORTRANGE(""https://docs.google.com/spreadsheets/d/1FbzMZY_f3MDiEuK7RpCQKrilJ_kpX0Wm7QBZ1L7EjIU/edit?usp=share_link"&amp;""",""ชุมพร!L528"")+IMPORTRANGE(""https://docs.google.com/spreadsheets/d/1v5sN-00LrXuhBxw4dkh2GrG_z4l5oAqOdJRBCsUyMaM/edit?usp=share_link"",""ตรัง!L528"")+IMPORTRANGE(""https://docs.google.com/spreadsheets/d/1T5rRTzFc79aSIvqnzkZNvwPstq829QYz_xALlO1Z0s8/edi"&amp;"t?usp=share_link"",""นครศรีธรรมราช!L528"")+IMPORTRANGE(""https://docs.google.com/spreadsheets/d/1BeghqumK0IvCmRd2QOy6_afsZq7ZtAGrSnVJy2u7WmY/edit?usp=share_link"",""นราธิวาส!L528"")+IMPORTRANGE(""https://docs.google.com/spreadsheets/d/1IwnW3-jjRf74MCLW-6P"&amp;"iFwMUffRQXZwZA7YM609NmRc/edit?usp=share_link"",""ปัตตานี!L528"")+IMPORTRANGE(""https://docs.google.com/spreadsheets/d/1vl4QWbWdFruual5o_wdo6ZSqXZ_it806oja4CctTLKs/edit?usp=share_link"",""พังงา!L528"")+IMPORTRANGE(""https://docs.google.com/spreadsheets/d/1"&amp;"b6QssHQp2FoAPSMKHOy273KNzAomaIKhtdlvuZ_zDNE/edit?usp=share_link"",""พัทลุง!L528"")+IMPORTRANGE(""https://docs.google.com/spreadsheets/d/1o7UZe4_OqlqtLDHrj01Z2YFRSZDf1DMy1n3XViHaxRc/edit?usp=share_link"",""ภูเก็ต!L528"")+IMPORTRANGE(""https://docs.google.c"&amp;"om/spreadsheets/d/1ctPm1vUzcUCPuOj9-eoHUD85PqINFqUB0TjdSWmR5-c/edit?usp=share_link"",""ยะลา!L528"")+IMPORTRANGE(""https://docs.google.com/spreadsheets/d/1YiDIE7Klmt8osgdapRqYWNr7iPGFSsiJqq46S7PYRE0/edit?usp=share_link"",""ระนอง!L528"")+IMPORTRANGE(""https"&amp;"://docs.google.com/spreadsheets/d/16o_4B-V7AWw_6E93bSpXj_XxVv1oVQctk-B6z1dNEWU/edit?usp=share_link"",""สงขลา!L528"")+IMPORTRANGE(""https://docs.google.com/spreadsheets/d/16cywr71Fj4fA5OGRHsZh30ZG2gwJhMAQv69oVBzYHv0/edit?usp=share_link"",""สตูล!L528"")+IMP"&amp;"ORTRANGE(""https://docs.google.com/spreadsheets/d/1vO9Sws6kMtrVtyvrAJptINXjK8TFBoX9xLYOVK_C8bQ/edit?usp=share_link"",""สุราษฎร์ธานี!L528"")"),1674740)</f>
        <v>1674740</v>
      </c>
      <c r="M528" s="93">
        <f ca="1">IFERROR(__xludf.DUMMYFUNCTION("IMPORTRANGE(""https://docs.google.com/spreadsheets/d/1kC41EOXpGBFOW658Fs3oD8beYlym0-zO54WY-2Qnp9I/edit?usp=share_link"",""กระบี่!M528"")
+IMPORTRANGE(""https://docs.google.com/spreadsheets/d/1FbzMZY_f3MDiEuK7RpCQKrilJ_kpX0Wm7QBZ1L7EjIU/edit?usp=share_link"&amp;""",""ชุมพร!M528"")+IMPORTRANGE(""https://docs.google.com/spreadsheets/d/1v5sN-00LrXuhBxw4dkh2GrG_z4l5oAqOdJRBCsUyMaM/edit?usp=share_link"",""ตรัง!M528"")+IMPORTRANGE(""https://docs.google.com/spreadsheets/d/1T5rRTzFc79aSIvqnzkZNvwPstq829QYz_xALlO1Z0s8/edi"&amp;"t?usp=share_link"",""นครศรีธรรมราช!M528"")+IMPORTRANGE(""https://docs.google.com/spreadsheets/d/1BeghqumK0IvCmRd2QOy6_afsZq7ZtAGrSnVJy2u7WmY/edit?usp=share_link"",""นราธิวาส!M528"")+IMPORTRANGE(""https://docs.google.com/spreadsheets/d/1IwnW3-jjRf74MCLW-6P"&amp;"iFwMUffRQXZwZA7YM609NmRc/edit?usp=share_link"",""ปัตตานี!M528"")+IMPORTRANGE(""https://docs.google.com/spreadsheets/d/1vl4QWbWdFruual5o_wdo6ZSqXZ_it806oja4CctTLKs/edit?usp=share_link"",""พังงา!M528"")+IMPORTRANGE(""https://docs.google.com/spreadsheets/d/1"&amp;"b6QssHQp2FoAPSMKHOy273KNzAomaIKhtdlvuZ_zDNE/edit?usp=share_link"",""พัทลุง!M528"")+IMPORTRANGE(""https://docs.google.com/spreadsheets/d/1o7UZe4_OqlqtLDHrj01Z2YFRSZDf1DMy1n3XViHaxRc/edit?usp=share_link"",""ภูเก็ต!M528"")+IMPORTRANGE(""https://docs.google.c"&amp;"om/spreadsheets/d/1ctPm1vUzcUCPuOj9-eoHUD85PqINFqUB0TjdSWmR5-c/edit?usp=share_link"",""ยะลา!M528"")+IMPORTRANGE(""https://docs.google.com/spreadsheets/d/1YiDIE7Klmt8osgdapRqYWNr7iPGFSsiJqq46S7PYRE0/edit?usp=share_link"",""ระนอง!M528"")+IMPORTRANGE(""https"&amp;"://docs.google.com/spreadsheets/d/16o_4B-V7AWw_6E93bSpXj_XxVv1oVQctk-B6z1dNEWU/edit?usp=share_link"",""สงขลา!M528"")+IMPORTRANGE(""https://docs.google.com/spreadsheets/d/16cywr71Fj4fA5OGRHsZh30ZG2gwJhMAQv69oVBzYHv0/edit?usp=share_link"",""สตูล!M528"")+IMP"&amp;"ORTRANGE(""https://docs.google.com/spreadsheets/d/1vO9Sws6kMtrVtyvrAJptINXjK8TFBoX9xLYOVK_C8bQ/edit?usp=share_link"",""สุราษฎร์ธานี!M528"")"),1674740)</f>
        <v>1674740</v>
      </c>
      <c r="N528" s="45">
        <f ca="1">N529+N530+N531+N532</f>
        <v>979010</v>
      </c>
      <c r="O528" s="45">
        <f t="shared" ca="1" si="261"/>
        <v>58.457432198430801</v>
      </c>
      <c r="P528" s="45">
        <f t="shared" ca="1" si="262"/>
        <v>58.457432198430801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20.25" customHeight="1">
      <c r="A529" s="573"/>
      <c r="B529" s="574"/>
      <c r="C529" s="575"/>
      <c r="D529" s="575"/>
      <c r="E529" s="575"/>
      <c r="F529" s="576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IFERROR(__xludf.DUMMYFUNCTION("IMPORTRANGE(""https://docs.google.com/spreadsheets/d/1kC41EOXpGBFOW658Fs3oD8beYlym0-zO54WY-2Qnp9I/edit?usp=share_link"",""กระบี่!N529"")
+IMPORTRANGE(""https://docs.google.com/spreadsheets/d/1FbzMZY_f3MDiEuK7RpCQKrilJ_kpX0Wm7QBZ1L7EjIU/edit?usp=share_link"&amp;""",""ชุมพร!N529"")+IMPORTRANGE(""https://docs.google.com/spreadsheets/d/1v5sN-00LrXuhBxw4dkh2GrG_z4l5oAqOdJRBCsUyMaM/edit?usp=share_link"",""ตรัง!N529"")+IMPORTRANGE(""https://docs.google.com/spreadsheets/d/1T5rRTzFc79aSIvqnzkZNvwPstq829QYz_xALlO1Z0s8/edi"&amp;"t?usp=share_link"",""นครศรีธรรมราช!N529"")+IMPORTRANGE(""https://docs.google.com/spreadsheets/d/1BeghqumK0IvCmRd2QOy6_afsZq7ZtAGrSnVJy2u7WmY/edit?usp=share_link"",""นราธิวาส!N529"")+IMPORTRANGE(""https://docs.google.com/spreadsheets/d/1IwnW3-jjRf74MCLW-6P"&amp;"iFwMUffRQXZwZA7YM609NmRc/edit?usp=share_link"",""ปัตตานี!N529"")+IMPORTRANGE(""https://docs.google.com/spreadsheets/d/1vl4QWbWdFruual5o_wdo6ZSqXZ_it806oja4CctTLKs/edit?usp=share_link"",""พังงา!N529"")+IMPORTRANGE(""https://docs.google.com/spreadsheets/d/1"&amp;"b6QssHQp2FoAPSMKHOy273KNzAomaIKhtdlvuZ_zDNE/edit?usp=share_link"",""พัทลุง!N529"")+IMPORTRANGE(""https://docs.google.com/spreadsheets/d/1o7UZe4_OqlqtLDHrj01Z2YFRSZDf1DMy1n3XViHaxRc/edit?usp=share_link"",""ภูเก็ต!N529"")+IMPORTRANGE(""https://docs.google.c"&amp;"om/spreadsheets/d/1ctPm1vUzcUCPuOj9-eoHUD85PqINFqUB0TjdSWmR5-c/edit?usp=share_link"",""ยะลา!N529"")+IMPORTRANGE(""https://docs.google.com/spreadsheets/d/1YiDIE7Klmt8osgdapRqYWNr7iPGFSsiJqq46S7PYRE0/edit?usp=share_link"",""ระนอง!N529"")+IMPORTRANGE(""https"&amp;"://docs.google.com/spreadsheets/d/16o_4B-V7AWw_6E93bSpXj_XxVv1oVQctk-B6z1dNEWU/edit?usp=share_link"",""สงขลา!N529"")+IMPORTRANGE(""https://docs.google.com/spreadsheets/d/16cywr71Fj4fA5OGRHsZh30ZG2gwJhMAQv69oVBzYHv0/edit?usp=share_link"",""สตูล!N529"")+IMP"&amp;"ORTRANGE(""https://docs.google.com/spreadsheets/d/1vO9Sws6kMtrVtyvrAJptINXjK8TFBoX9xLYOVK_C8bQ/edit?usp=share_link"",""สุราษฎร์ธานี!N529"")"),428180)</f>
        <v>428180</v>
      </c>
      <c r="O529" s="38"/>
      <c r="P529" s="3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20.25" customHeight="1">
      <c r="A530" s="573"/>
      <c r="B530" s="574"/>
      <c r="C530" s="575"/>
      <c r="D530" s="575"/>
      <c r="E530" s="575"/>
      <c r="F530" s="576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IFERROR(__xludf.DUMMYFUNCTION("IMPORTRANGE(""https://docs.google.com/spreadsheets/d/1kC41EOXpGBFOW658Fs3oD8beYlym0-zO54WY-2Qnp9I/edit?usp=share_link"",""กระบี่!N530"")
+IMPORTRANGE(""https://docs.google.com/spreadsheets/d/1FbzMZY_f3MDiEuK7RpCQKrilJ_kpX0Wm7QBZ1L7EjIU/edit?usp=share_link"&amp;""",""ชุมพร!N530"")+IMPORTRANGE(""https://docs.google.com/spreadsheets/d/1v5sN-00LrXuhBxw4dkh2GrG_z4l5oAqOdJRBCsUyMaM/edit?usp=share_link"",""ตรัง!N530"")+IMPORTRANGE(""https://docs.google.com/spreadsheets/d/1T5rRTzFc79aSIvqnzkZNvwPstq829QYz_xALlO1Z0s8/edi"&amp;"t?usp=share_link"",""นครศรีธรรมราช!N530"")+IMPORTRANGE(""https://docs.google.com/spreadsheets/d/1BeghqumK0IvCmRd2QOy6_afsZq7ZtAGrSnVJy2u7WmY/edit?usp=share_link"",""นราธิวาส!N530"")+IMPORTRANGE(""https://docs.google.com/spreadsheets/d/1IwnW3-jjRf74MCLW-6P"&amp;"iFwMUffRQXZwZA7YM609NmRc/edit?usp=share_link"",""ปัตตานี!N530"")+IMPORTRANGE(""https://docs.google.com/spreadsheets/d/1vl4QWbWdFruual5o_wdo6ZSqXZ_it806oja4CctTLKs/edit?usp=share_link"",""พังงา!N530"")+IMPORTRANGE(""https://docs.google.com/spreadsheets/d/1"&amp;"b6QssHQp2FoAPSMKHOy273KNzAomaIKhtdlvuZ_zDNE/edit?usp=share_link"",""พัทลุง!N530"")+IMPORTRANGE(""https://docs.google.com/spreadsheets/d/1o7UZe4_OqlqtLDHrj01Z2YFRSZDf1DMy1n3XViHaxRc/edit?usp=share_link"",""ภูเก็ต!N530"")+IMPORTRANGE(""https://docs.google.c"&amp;"om/spreadsheets/d/1ctPm1vUzcUCPuOj9-eoHUD85PqINFqUB0TjdSWmR5-c/edit?usp=share_link"",""ยะลา!N530"")+IMPORTRANGE(""https://docs.google.com/spreadsheets/d/1YiDIE7Klmt8osgdapRqYWNr7iPGFSsiJqq46S7PYRE0/edit?usp=share_link"",""ระนอง!N530"")+IMPORTRANGE(""https"&amp;"://docs.google.com/spreadsheets/d/16o_4B-V7AWw_6E93bSpXj_XxVv1oVQctk-B6z1dNEWU/edit?usp=share_link"",""สงขลา!N530"")+IMPORTRANGE(""https://docs.google.com/spreadsheets/d/16cywr71Fj4fA5OGRHsZh30ZG2gwJhMAQv69oVBzYHv0/edit?usp=share_link"",""สตูล!N530"")+IMP"&amp;"ORTRANGE(""https://docs.google.com/spreadsheets/d/1vO9Sws6kMtrVtyvrAJptINXjK8TFBoX9xLYOVK_C8bQ/edit?usp=share_link"",""สุราษฎร์ธานี!N530"")"),400000)</f>
        <v>400000</v>
      </c>
      <c r="O530" s="38"/>
      <c r="P530" s="3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20.25" customHeight="1">
      <c r="A531" s="573"/>
      <c r="B531" s="574"/>
      <c r="C531" s="575"/>
      <c r="D531" s="575"/>
      <c r="E531" s="575"/>
      <c r="F531" s="576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IFERROR(__xludf.DUMMYFUNCTION("IMPORTRANGE(""https://docs.google.com/spreadsheets/d/1kC41EOXpGBFOW658Fs3oD8beYlym0-zO54WY-2Qnp9I/edit?usp=share_link"",""กระบี่!N531"")
+IMPORTRANGE(""https://docs.google.com/spreadsheets/d/1FbzMZY_f3MDiEuK7RpCQKrilJ_kpX0Wm7QBZ1L7EjIU/edit?usp=share_link"&amp;""",""ชุมพร!N531"")+IMPORTRANGE(""https://docs.google.com/spreadsheets/d/1v5sN-00LrXuhBxw4dkh2GrG_z4l5oAqOdJRBCsUyMaM/edit?usp=share_link"",""ตรัง!N531"")+IMPORTRANGE(""https://docs.google.com/spreadsheets/d/1T5rRTzFc79aSIvqnzkZNvwPstq829QYz_xALlO1Z0s8/edi"&amp;"t?usp=share_link"",""นครศรีธรรมราช!N531"")+IMPORTRANGE(""https://docs.google.com/spreadsheets/d/1BeghqumK0IvCmRd2QOy6_afsZq7ZtAGrSnVJy2u7WmY/edit?usp=share_link"",""นราธิวาส!N531"")+IMPORTRANGE(""https://docs.google.com/spreadsheets/d/1IwnW3-jjRf74MCLW-6P"&amp;"iFwMUffRQXZwZA7YM609NmRc/edit?usp=share_link"",""ปัตตานี!N531"")+IMPORTRANGE(""https://docs.google.com/spreadsheets/d/1vl4QWbWdFruual5o_wdo6ZSqXZ_it806oja4CctTLKs/edit?usp=share_link"",""พังงา!N531"")+IMPORTRANGE(""https://docs.google.com/spreadsheets/d/1"&amp;"b6QssHQp2FoAPSMKHOy273KNzAomaIKhtdlvuZ_zDNE/edit?usp=share_link"",""พัทลุง!N531"")+IMPORTRANGE(""https://docs.google.com/spreadsheets/d/1o7UZe4_OqlqtLDHrj01Z2YFRSZDf1DMy1n3XViHaxRc/edit?usp=share_link"",""ภูเก็ต!N531"")+IMPORTRANGE(""https://docs.google.c"&amp;"om/spreadsheets/d/1ctPm1vUzcUCPuOj9-eoHUD85PqINFqUB0TjdSWmR5-c/edit?usp=share_link"",""ยะลา!N531"")+IMPORTRANGE(""https://docs.google.com/spreadsheets/d/1YiDIE7Klmt8osgdapRqYWNr7iPGFSsiJqq46S7PYRE0/edit?usp=share_link"",""ระนอง!N531"")+IMPORTRANGE(""https"&amp;"://docs.google.com/spreadsheets/d/16o_4B-V7AWw_6E93bSpXj_XxVv1oVQctk-B6z1dNEWU/edit?usp=share_link"",""สงขลา!N531"")+IMPORTRANGE(""https://docs.google.com/spreadsheets/d/16cywr71Fj4fA5OGRHsZh30ZG2gwJhMAQv69oVBzYHv0/edit?usp=share_link"",""สตูล!N531"")+IMP"&amp;"ORTRANGE(""https://docs.google.com/spreadsheets/d/1vO9Sws6kMtrVtyvrAJptINXjK8TFBoX9xLYOVK_C8bQ/edit?usp=share_link"",""สุราษฎร์ธานี!N531"")"),0)</f>
        <v>0</v>
      </c>
      <c r="O531" s="38"/>
      <c r="P531" s="3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20.25" customHeight="1">
      <c r="A532" s="573"/>
      <c r="B532" s="574"/>
      <c r="C532" s="575"/>
      <c r="D532" s="575"/>
      <c r="E532" s="575"/>
      <c r="F532" s="576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IFERROR(__xludf.DUMMYFUNCTION("IMPORTRANGE(""https://docs.google.com/spreadsheets/d/1kC41EOXpGBFOW658Fs3oD8beYlym0-zO54WY-2Qnp9I/edit?usp=share_link"",""กระบี่!N532"")
+IMPORTRANGE(""https://docs.google.com/spreadsheets/d/1FbzMZY_f3MDiEuK7RpCQKrilJ_kpX0Wm7QBZ1L7EjIU/edit?usp=share_link"&amp;""",""ชุมพร!N532"")+IMPORTRANGE(""https://docs.google.com/spreadsheets/d/1v5sN-00LrXuhBxw4dkh2GrG_z4l5oAqOdJRBCsUyMaM/edit?usp=share_link"",""ตรัง!N532"")+IMPORTRANGE(""https://docs.google.com/spreadsheets/d/1T5rRTzFc79aSIvqnzkZNvwPstq829QYz_xALlO1Z0s8/edi"&amp;"t?usp=share_link"",""นครศรีธรรมราช!N532"")+IMPORTRANGE(""https://docs.google.com/spreadsheets/d/1BeghqumK0IvCmRd2QOy6_afsZq7ZtAGrSnVJy2u7WmY/edit?usp=share_link"",""นราธิวาส!N532"")+IMPORTRANGE(""https://docs.google.com/spreadsheets/d/1IwnW3-jjRf74MCLW-6P"&amp;"iFwMUffRQXZwZA7YM609NmRc/edit?usp=share_link"",""ปัตตานี!N532"")+IMPORTRANGE(""https://docs.google.com/spreadsheets/d/1vl4QWbWdFruual5o_wdo6ZSqXZ_it806oja4CctTLKs/edit?usp=share_link"",""พังงา!N532"")+IMPORTRANGE(""https://docs.google.com/spreadsheets/d/1"&amp;"b6QssHQp2FoAPSMKHOy273KNzAomaIKhtdlvuZ_zDNE/edit?usp=share_link"",""พัทลุง!N532"")+IMPORTRANGE(""https://docs.google.com/spreadsheets/d/1o7UZe4_OqlqtLDHrj01Z2YFRSZDf1DMy1n3XViHaxRc/edit?usp=share_link"",""ภูเก็ต!N532"")+IMPORTRANGE(""https://docs.google.c"&amp;"om/spreadsheets/d/1ctPm1vUzcUCPuOj9-eoHUD85PqINFqUB0TjdSWmR5-c/edit?usp=share_link"",""ยะลา!N532"")+IMPORTRANGE(""https://docs.google.com/spreadsheets/d/1YiDIE7Klmt8osgdapRqYWNr7iPGFSsiJqq46S7PYRE0/edit?usp=share_link"",""ระนอง!N532"")+IMPORTRANGE(""https"&amp;"://docs.google.com/spreadsheets/d/16o_4B-V7AWw_6E93bSpXj_XxVv1oVQctk-B6z1dNEWU/edit?usp=share_link"",""สงขลา!N532"")+IMPORTRANGE(""https://docs.google.com/spreadsheets/d/16cywr71Fj4fA5OGRHsZh30ZG2gwJhMAQv69oVBzYHv0/edit?usp=share_link"",""สตูล!N532"")+IMP"&amp;"ORTRANGE(""https://docs.google.com/spreadsheets/d/1vO9Sws6kMtrVtyvrAJptINXjK8TFBoX9xLYOVK_C8bQ/edit?usp=share_link"",""สุราษฎร์ธานี!N532"")"),150830)</f>
        <v>150830</v>
      </c>
      <c r="O532" s="38"/>
      <c r="P532" s="3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20.25" customHeight="1">
      <c r="A533" s="596"/>
      <c r="B533" s="574"/>
      <c r="C533" s="575"/>
      <c r="D533" s="605" t="s">
        <v>21</v>
      </c>
      <c r="E533" s="575"/>
      <c r="F533" s="575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20.25" hidden="1" customHeight="1">
      <c r="A534" s="598"/>
      <c r="B534" s="604"/>
      <c r="C534" s="599"/>
      <c r="D534" s="599"/>
      <c r="E534" s="601" t="s">
        <v>18</v>
      </c>
      <c r="F534" s="599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20.25" hidden="1" customHeight="1">
      <c r="A535" s="598"/>
      <c r="B535" s="604"/>
      <c r="C535" s="599"/>
      <c r="D535" s="599"/>
      <c r="E535" s="601" t="s">
        <v>19</v>
      </c>
      <c r="F535" s="599"/>
      <c r="G535" s="602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IFERROR(__xludf.DUMMYFUNCTION("IMPORTRANGE(""https://docs.google.com/spreadsheets/d/1kC41EOXpGBFOW658Fs3oD8beYlym0-zO54WY-2Qnp9I/edit?usp=share_link"",""กระบี่!L535"")
+IMPORTRANGE(""https://docs.google.com/spreadsheets/d/1FbzMZY_f3MDiEuK7RpCQKrilJ_kpX0Wm7QBZ1L7EjIU/edit?usp=share_link"&amp;""",""ชุมพร!L535"")+IMPORTRANGE(""https://docs.google.com/spreadsheets/d/1v5sN-00LrXuhBxw4dkh2GrG_z4l5oAqOdJRBCsUyMaM/edit?usp=share_link"",""ตรัง!L535"")+IMPORTRANGE(""https://docs.google.com/spreadsheets/d/1T5rRTzFc79aSIvqnzkZNvwPstq829QYz_xALlO1Z0s8/edi"&amp;"t?usp=share_link"",""นครศรีธรรมราช!L535"")+IMPORTRANGE(""https://docs.google.com/spreadsheets/d/1BeghqumK0IvCmRd2QOy6_afsZq7ZtAGrSnVJy2u7WmY/edit?usp=share_link"",""นราธิวาส!L535"")+IMPORTRANGE(""https://docs.google.com/spreadsheets/d/1IwnW3-jjRf74MCLW-6P"&amp;"iFwMUffRQXZwZA7YM609NmRc/edit?usp=share_link"",""ปัตตานี!L535"")+IMPORTRANGE(""https://docs.google.com/spreadsheets/d/1vl4QWbWdFruual5o_wdo6ZSqXZ_it806oja4CctTLKs/edit?usp=share_link"",""พังงา!L535"")+IMPORTRANGE(""https://docs.google.com/spreadsheets/d/1"&amp;"b6QssHQp2FoAPSMKHOy273KNzAomaIKhtdlvuZ_zDNE/edit?usp=share_link"",""พัทลุง!L535"")+IMPORTRANGE(""https://docs.google.com/spreadsheets/d/1o7UZe4_OqlqtLDHrj01Z2YFRSZDf1DMy1n3XViHaxRc/edit?usp=share_link"",""ภูเก็ต!L535"")+IMPORTRANGE(""https://docs.google.c"&amp;"om/spreadsheets/d/1ctPm1vUzcUCPuOj9-eoHUD85PqINFqUB0TjdSWmR5-c/edit?usp=share_link"",""ยะลา!L535"")+IMPORTRANGE(""https://docs.google.com/spreadsheets/d/1YiDIE7Klmt8osgdapRqYWNr7iPGFSsiJqq46S7PYRE0/edit?usp=share_link"",""ระนอง!L535"")+IMPORTRANGE(""https"&amp;"://docs.google.com/spreadsheets/d/16o_4B-V7AWw_6E93bSpXj_XxVv1oVQctk-B6z1dNEWU/edit?usp=share_link"",""สงขลา!L535"")+IMPORTRANGE(""https://docs.google.com/spreadsheets/d/16cywr71Fj4fA5OGRHsZh30ZG2gwJhMAQv69oVBzYHv0/edit?usp=share_link"",""สตูล!L535"")+IMP"&amp;"ORTRANGE(""https://docs.google.com/spreadsheets/d/1vO9Sws6kMtrVtyvrAJptINXjK8TFBoX9xLYOVK_C8bQ/edit?usp=share_link"",""สุราษฎร์ธานี!L535"")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20.25" customHeight="1">
      <c r="A536" s="607"/>
      <c r="B536" s="608"/>
      <c r="C536" s="575" t="s">
        <v>16</v>
      </c>
      <c r="D536" s="678" t="s">
        <v>38</v>
      </c>
      <c r="E536" s="611"/>
      <c r="F536" s="611"/>
      <c r="G536" s="612"/>
      <c r="H536" s="175"/>
      <c r="I536" s="162"/>
      <c r="J536" s="162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20.25" customHeight="1">
      <c r="A537" s="573"/>
      <c r="B537" s="574"/>
      <c r="C537" s="575"/>
      <c r="D537" s="679" t="s">
        <v>228</v>
      </c>
      <c r="E537" s="575"/>
      <c r="F537" s="575"/>
      <c r="G537" s="189"/>
      <c r="H537" s="36" t="s">
        <v>35</v>
      </c>
      <c r="I537" s="680">
        <f ca="1">IFERROR(__xludf.DUMMYFUNCTION("IMPORTRANGE(""https://docs.google.com/spreadsheets/d/1kC41EOXpGBFOW658Fs3oD8beYlym0-zO54WY-2Qnp9I/edit?usp=share_link"",""กระบี่!I537"")
+IMPORTRANGE(""https://docs.google.com/spreadsheets/d/1FbzMZY_f3MDiEuK7RpCQKrilJ_kpX0Wm7QBZ1L7EjIU/edit?usp=share_link"&amp;""",""ชุมพร!I537"")+IMPORTRANGE(""https://docs.google.com/spreadsheets/d/1v5sN-00LrXuhBxw4dkh2GrG_z4l5oAqOdJRBCsUyMaM/edit?usp=share_link"",""ตรัง!I537"")+IMPORTRANGE(""https://docs.google.com/spreadsheets/d/1T5rRTzFc79aSIvqnzkZNvwPstq829QYz_xALlO1Z0s8/edi"&amp;"t?usp=share_link"",""นครศรีธรรมราช!I537"")+IMPORTRANGE(""https://docs.google.com/spreadsheets/d/1BeghqumK0IvCmRd2QOy6_afsZq7ZtAGrSnVJy2u7WmY/edit?usp=share_link"",""นราธิวาส!I537"")+IMPORTRANGE(""https://docs.google.com/spreadsheets/d/1IwnW3-jjRf74MCLW-6P"&amp;"iFwMUffRQXZwZA7YM609NmRc/edit?usp=share_link"",""ปัตตานี!I537"")+IMPORTRANGE(""https://docs.google.com/spreadsheets/d/1vl4QWbWdFruual5o_wdo6ZSqXZ_it806oja4CctTLKs/edit?usp=share_link"",""พังงา!I537"")+IMPORTRANGE(""https://docs.google.com/spreadsheets/d/1"&amp;"b6QssHQp2FoAPSMKHOy273KNzAomaIKhtdlvuZ_zDNE/edit?usp=share_link"",""พัทลุง!I537"")+IMPORTRANGE(""https://docs.google.com/spreadsheets/d/1o7UZe4_OqlqtLDHrj01Z2YFRSZDf1DMy1n3XViHaxRc/edit?usp=share_link"",""ภูเก็ต!I537"")+IMPORTRANGE(""https://docs.google.c"&amp;"om/spreadsheets/d/1ctPm1vUzcUCPuOj9-eoHUD85PqINFqUB0TjdSWmR5-c/edit?usp=share_link"",""ยะลา!I537"")+IMPORTRANGE(""https://docs.google.com/spreadsheets/d/1YiDIE7Klmt8osgdapRqYWNr7iPGFSsiJqq46S7PYRE0/edit?usp=share_link"",""ระนอง!I537"")+IMPORTRANGE(""https"&amp;"://docs.google.com/spreadsheets/d/16o_4B-V7AWw_6E93bSpXj_XxVv1oVQctk-B6z1dNEWU/edit?usp=share_link"",""สงขลา!I537"")+IMPORTRANGE(""https://docs.google.com/spreadsheets/d/16cywr71Fj4fA5OGRHsZh30ZG2gwJhMAQv69oVBzYHv0/edit?usp=share_link"",""สตูล!I537"")+IMP"&amp;"ORTRANGE(""https://docs.google.com/spreadsheets/d/1vO9Sws6kMtrVtyvrAJptINXjK8TFBoX9xLYOVK_C8bQ/edit?usp=share_link"",""สุราษฎร์ธานี!I537"")"),190)</f>
        <v>190</v>
      </c>
      <c r="J537" s="194">
        <f ca="1">IFERROR(__xludf.DUMMYFUNCTION("IMPORTRANGE(""https://docs.google.com/spreadsheets/d/1kC41EOXpGBFOW658Fs3oD8beYlym0-zO54WY-2Qnp9I/edit?usp=share_link"",""กระบี่!J537"")
+IMPORTRANGE(""https://docs.google.com/spreadsheets/d/1FbzMZY_f3MDiEuK7RpCQKrilJ_kpX0Wm7QBZ1L7EjIU/edit?usp=share_link"&amp;""",""ชุมพร!J537"")+IMPORTRANGE(""https://docs.google.com/spreadsheets/d/1v5sN-00LrXuhBxw4dkh2GrG_z4l5oAqOdJRBCsUyMaM/edit?usp=share_link"",""ตรัง!J537"")+IMPORTRANGE(""https://docs.google.com/spreadsheets/d/1T5rRTzFc79aSIvqnzkZNvwPstq829QYz_xALlO1Z0s8/edi"&amp;"t?usp=share_link"",""นครศรีธรรมราช!J537"")+IMPORTRANGE(""https://docs.google.com/spreadsheets/d/1BeghqumK0IvCmRd2QOy6_afsZq7ZtAGrSnVJy2u7WmY/edit?usp=share_link"",""นราธิวาส!J537"")+IMPORTRANGE(""https://docs.google.com/spreadsheets/d/1IwnW3-jjRf74MCLW-6P"&amp;"iFwMUffRQXZwZA7YM609NmRc/edit?usp=share_link"",""ปัตตานี!J537"")+IMPORTRANGE(""https://docs.google.com/spreadsheets/d/1vl4QWbWdFruual5o_wdo6ZSqXZ_it806oja4CctTLKs/edit?usp=share_link"",""พังงา!J537"")+IMPORTRANGE(""https://docs.google.com/spreadsheets/d/1"&amp;"b6QssHQp2FoAPSMKHOy273KNzAomaIKhtdlvuZ_zDNE/edit?usp=share_link"",""พัทลุง!J537"")+IMPORTRANGE(""https://docs.google.com/spreadsheets/d/1o7UZe4_OqlqtLDHrj01Z2YFRSZDf1DMy1n3XViHaxRc/edit?usp=share_link"",""ภูเก็ต!J537"")+IMPORTRANGE(""https://docs.google.c"&amp;"om/spreadsheets/d/1ctPm1vUzcUCPuOj9-eoHUD85PqINFqUB0TjdSWmR5-c/edit?usp=share_link"",""ยะลา!J537"")+IMPORTRANGE(""https://docs.google.com/spreadsheets/d/1YiDIE7Klmt8osgdapRqYWNr7iPGFSsiJqq46S7PYRE0/edit?usp=share_link"",""ระนอง!J537"")+IMPORTRANGE(""https"&amp;"://docs.google.com/spreadsheets/d/16o_4B-V7AWw_6E93bSpXj_XxVv1oVQctk-B6z1dNEWU/edit?usp=share_link"",""สงขลา!J537"")+IMPORTRANGE(""https://docs.google.com/spreadsheets/d/16cywr71Fj4fA5OGRHsZh30ZG2gwJhMAQv69oVBzYHv0/edit?usp=share_link"",""สตูล!J537"")+IMP"&amp;"ORTRANGE(""https://docs.google.com/spreadsheets/d/1vO9Sws6kMtrVtyvrAJptINXjK8TFBoX9xLYOVK_C8bQ/edit?usp=share_link"",""สุราษฎร์ธานี!J537"")"),190)</f>
        <v>190</v>
      </c>
      <c r="K537" s="38">
        <f t="shared" ref="K537:K543" ca="1" si="269">IF(I537&gt;0,J537*100/I537,0)</f>
        <v>100</v>
      </c>
      <c r="L537" s="38"/>
      <c r="M537" s="38"/>
      <c r="N537" s="38"/>
      <c r="O537" s="38"/>
      <c r="P537" s="3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20.25" customHeight="1">
      <c r="A538" s="573"/>
      <c r="B538" s="574"/>
      <c r="C538" s="575"/>
      <c r="D538" s="576"/>
      <c r="E538" s="682" t="s">
        <v>229</v>
      </c>
      <c r="F538" s="575"/>
      <c r="G538" s="189"/>
      <c r="H538" s="36" t="s">
        <v>35</v>
      </c>
      <c r="I538" s="270">
        <f ca="1">IFERROR(__xludf.DUMMYFUNCTION("IMPORTRANGE(""https://docs.google.com/spreadsheets/d/1kC41EOXpGBFOW658Fs3oD8beYlym0-zO54WY-2Qnp9I/edit?usp=share_link"",""กระบี่!I538"")
+IMPORTRANGE(""https://docs.google.com/spreadsheets/d/1FbzMZY_f3MDiEuK7RpCQKrilJ_kpX0Wm7QBZ1L7EjIU/edit?usp=share_link"&amp;""",""ชุมพร!I538"")+IMPORTRANGE(""https://docs.google.com/spreadsheets/d/1v5sN-00LrXuhBxw4dkh2GrG_z4l5oAqOdJRBCsUyMaM/edit?usp=share_link"",""ตรัง!I538"")+IMPORTRANGE(""https://docs.google.com/spreadsheets/d/1T5rRTzFc79aSIvqnzkZNvwPstq829QYz_xALlO1Z0s8/edi"&amp;"t?usp=share_link"",""นครศรีธรรมราช!I538"")+IMPORTRANGE(""https://docs.google.com/spreadsheets/d/1BeghqumK0IvCmRd2QOy6_afsZq7ZtAGrSnVJy2u7WmY/edit?usp=share_link"",""นราธิวาส!I538"")+IMPORTRANGE(""https://docs.google.com/spreadsheets/d/1IwnW3-jjRf74MCLW-6P"&amp;"iFwMUffRQXZwZA7YM609NmRc/edit?usp=share_link"",""ปัตตานี!I538"")+IMPORTRANGE(""https://docs.google.com/spreadsheets/d/1vl4QWbWdFruual5o_wdo6ZSqXZ_it806oja4CctTLKs/edit?usp=share_link"",""พังงา!I538"")+IMPORTRANGE(""https://docs.google.com/spreadsheets/d/1"&amp;"b6QssHQp2FoAPSMKHOy273KNzAomaIKhtdlvuZ_zDNE/edit?usp=share_link"",""พัทลุง!I538"")+IMPORTRANGE(""https://docs.google.com/spreadsheets/d/1o7UZe4_OqlqtLDHrj01Z2YFRSZDf1DMy1n3XViHaxRc/edit?usp=share_link"",""ภูเก็ต!I538"")+IMPORTRANGE(""https://docs.google.c"&amp;"om/spreadsheets/d/1ctPm1vUzcUCPuOj9-eoHUD85PqINFqUB0TjdSWmR5-c/edit?usp=share_link"",""ยะลา!I538"")+IMPORTRANGE(""https://docs.google.com/spreadsheets/d/1YiDIE7Klmt8osgdapRqYWNr7iPGFSsiJqq46S7PYRE0/edit?usp=share_link"",""ระนอง!I538"")+IMPORTRANGE(""https"&amp;"://docs.google.com/spreadsheets/d/16o_4B-V7AWw_6E93bSpXj_XxVv1oVQctk-B6z1dNEWU/edit?usp=share_link"",""สงขลา!I538"")+IMPORTRANGE(""https://docs.google.com/spreadsheets/d/16cywr71Fj4fA5OGRHsZh30ZG2gwJhMAQv69oVBzYHv0/edit?usp=share_link"",""สตูล!I538"")+IMP"&amp;"ORTRANGE(""https://docs.google.com/spreadsheets/d/1vO9Sws6kMtrVtyvrAJptINXjK8TFBoX9xLYOVK_C8bQ/edit?usp=share_link"",""สุราษฎร์ธานี!I538"")"),190)</f>
        <v>190</v>
      </c>
      <c r="J538" s="183">
        <f ca="1">IFERROR(__xludf.DUMMYFUNCTION("IMPORTRANGE(""https://docs.google.com/spreadsheets/d/1kC41EOXpGBFOW658Fs3oD8beYlym0-zO54WY-2Qnp9I/edit?usp=share_link"",""กระบี่!J538"")
+IMPORTRANGE(""https://docs.google.com/spreadsheets/d/1FbzMZY_f3MDiEuK7RpCQKrilJ_kpX0Wm7QBZ1L7EjIU/edit?usp=share_link"&amp;""",""ชุมพร!J538"")+IMPORTRANGE(""https://docs.google.com/spreadsheets/d/1v5sN-00LrXuhBxw4dkh2GrG_z4l5oAqOdJRBCsUyMaM/edit?usp=share_link"",""ตรัง!J538"")+IMPORTRANGE(""https://docs.google.com/spreadsheets/d/1T5rRTzFc79aSIvqnzkZNvwPstq829QYz_xALlO1Z0s8/edi"&amp;"t?usp=share_link"",""นครศรีธรรมราช!J538"")+IMPORTRANGE(""https://docs.google.com/spreadsheets/d/1BeghqumK0IvCmRd2QOy6_afsZq7ZtAGrSnVJy2u7WmY/edit?usp=share_link"",""นราธิวาส!J538"")+IMPORTRANGE(""https://docs.google.com/spreadsheets/d/1IwnW3-jjRf74MCLW-6P"&amp;"iFwMUffRQXZwZA7YM609NmRc/edit?usp=share_link"",""ปัตตานี!J538"")+IMPORTRANGE(""https://docs.google.com/spreadsheets/d/1vl4QWbWdFruual5o_wdo6ZSqXZ_it806oja4CctTLKs/edit?usp=share_link"",""พังงา!J538"")+IMPORTRANGE(""https://docs.google.com/spreadsheets/d/1"&amp;"b6QssHQp2FoAPSMKHOy273KNzAomaIKhtdlvuZ_zDNE/edit?usp=share_link"",""พัทลุง!J538"")+IMPORTRANGE(""https://docs.google.com/spreadsheets/d/1o7UZe4_OqlqtLDHrj01Z2YFRSZDf1DMy1n3XViHaxRc/edit?usp=share_link"",""ภูเก็ต!J538"")+IMPORTRANGE(""https://docs.google.c"&amp;"om/spreadsheets/d/1ctPm1vUzcUCPuOj9-eoHUD85PqINFqUB0TjdSWmR5-c/edit?usp=share_link"",""ยะลา!J538"")+IMPORTRANGE(""https://docs.google.com/spreadsheets/d/1YiDIE7Klmt8osgdapRqYWNr7iPGFSsiJqq46S7PYRE0/edit?usp=share_link"",""ระนอง!J538"")+IMPORTRANGE(""https"&amp;"://docs.google.com/spreadsheets/d/16o_4B-V7AWw_6E93bSpXj_XxVv1oVQctk-B6z1dNEWU/edit?usp=share_link"",""สงขลา!J538"")+IMPORTRANGE(""https://docs.google.com/spreadsheets/d/16cywr71Fj4fA5OGRHsZh30ZG2gwJhMAQv69oVBzYHv0/edit?usp=share_link"",""สตูล!J538"")+IMP"&amp;"ORTRANGE(""https://docs.google.com/spreadsheets/d/1vO9Sws6kMtrVtyvrAJptINXjK8TFBoX9xLYOVK_C8bQ/edit?usp=share_link"",""สุราษฎร์ธานี!J538"")"),190)</f>
        <v>190</v>
      </c>
      <c r="K538" s="38">
        <f t="shared" ca="1" si="269"/>
        <v>100</v>
      </c>
      <c r="L538" s="38"/>
      <c r="M538" s="38"/>
      <c r="N538" s="38"/>
      <c r="O538" s="38"/>
      <c r="P538" s="3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20.25" customHeight="1">
      <c r="A539" s="573"/>
      <c r="B539" s="574"/>
      <c r="C539" s="575"/>
      <c r="D539" s="576"/>
      <c r="E539" s="682" t="s">
        <v>230</v>
      </c>
      <c r="F539" s="575"/>
      <c r="G539" s="189"/>
      <c r="H539" s="36" t="s">
        <v>35</v>
      </c>
      <c r="I539" s="270">
        <f ca="1">IFERROR(__xludf.DUMMYFUNCTION("IMPORTRANGE(""https://docs.google.com/spreadsheets/d/1kC41EOXpGBFOW658Fs3oD8beYlym0-zO54WY-2Qnp9I/edit?usp=share_link"",""กระบี่!I539"")
+IMPORTRANGE(""https://docs.google.com/spreadsheets/d/1FbzMZY_f3MDiEuK7RpCQKrilJ_kpX0Wm7QBZ1L7EjIU/edit?usp=share_link"&amp;""",""ชุมพร!I539"")+IMPORTRANGE(""https://docs.google.com/spreadsheets/d/1v5sN-00LrXuhBxw4dkh2GrG_z4l5oAqOdJRBCsUyMaM/edit?usp=share_link"",""ตรัง!I539"")+IMPORTRANGE(""https://docs.google.com/spreadsheets/d/1T5rRTzFc79aSIvqnzkZNvwPstq829QYz_xALlO1Z0s8/edi"&amp;"t?usp=share_link"",""นครศรีธรรมราช!I539"")+IMPORTRANGE(""https://docs.google.com/spreadsheets/d/1BeghqumK0IvCmRd2QOy6_afsZq7ZtAGrSnVJy2u7WmY/edit?usp=share_link"",""นราธิวาส!I539"")+IMPORTRANGE(""https://docs.google.com/spreadsheets/d/1IwnW3-jjRf74MCLW-6P"&amp;"iFwMUffRQXZwZA7YM609NmRc/edit?usp=share_link"",""ปัตตานี!I539"")+IMPORTRANGE(""https://docs.google.com/spreadsheets/d/1vl4QWbWdFruual5o_wdo6ZSqXZ_it806oja4CctTLKs/edit?usp=share_link"",""พังงา!I539"")+IMPORTRANGE(""https://docs.google.com/spreadsheets/d/1"&amp;"b6QssHQp2FoAPSMKHOy273KNzAomaIKhtdlvuZ_zDNE/edit?usp=share_link"",""พัทลุง!I539"")+IMPORTRANGE(""https://docs.google.com/spreadsheets/d/1o7UZe4_OqlqtLDHrj01Z2YFRSZDf1DMy1n3XViHaxRc/edit?usp=share_link"",""ภูเก็ต!I539"")+IMPORTRANGE(""https://docs.google.c"&amp;"om/spreadsheets/d/1ctPm1vUzcUCPuOj9-eoHUD85PqINFqUB0TjdSWmR5-c/edit?usp=share_link"",""ยะลา!I539"")+IMPORTRANGE(""https://docs.google.com/spreadsheets/d/1YiDIE7Klmt8osgdapRqYWNr7iPGFSsiJqq46S7PYRE0/edit?usp=share_link"",""ระนอง!I539"")+IMPORTRANGE(""https"&amp;"://docs.google.com/spreadsheets/d/16o_4B-V7AWw_6E93bSpXj_XxVv1oVQctk-B6z1dNEWU/edit?usp=share_link"",""สงขลา!I539"")+IMPORTRANGE(""https://docs.google.com/spreadsheets/d/16cywr71Fj4fA5OGRHsZh30ZG2gwJhMAQv69oVBzYHv0/edit?usp=share_link"",""สตูล!I539"")+IMP"&amp;"ORTRANGE(""https://docs.google.com/spreadsheets/d/1vO9Sws6kMtrVtyvrAJptINXjK8TFBoX9xLYOVK_C8bQ/edit?usp=share_link"",""สุราษฎร์ธานี!I539"")"),160)</f>
        <v>160</v>
      </c>
      <c r="J539" s="183">
        <f ca="1">IFERROR(__xludf.DUMMYFUNCTION("IMPORTRANGE(""https://docs.google.com/spreadsheets/d/1kC41EOXpGBFOW658Fs3oD8beYlym0-zO54WY-2Qnp9I/edit?usp=share_link"",""กระบี่!J539"")
+IMPORTRANGE(""https://docs.google.com/spreadsheets/d/1FbzMZY_f3MDiEuK7RpCQKrilJ_kpX0Wm7QBZ1L7EjIU/edit?usp=share_link"&amp;""",""ชุมพร!J539"")+IMPORTRANGE(""https://docs.google.com/spreadsheets/d/1v5sN-00LrXuhBxw4dkh2GrG_z4l5oAqOdJRBCsUyMaM/edit?usp=share_link"",""ตรัง!J539"")+IMPORTRANGE(""https://docs.google.com/spreadsheets/d/1T5rRTzFc79aSIvqnzkZNvwPstq829QYz_xALlO1Z0s8/edi"&amp;"t?usp=share_link"",""นครศรีธรรมราช!J539"")+IMPORTRANGE(""https://docs.google.com/spreadsheets/d/1BeghqumK0IvCmRd2QOy6_afsZq7ZtAGrSnVJy2u7WmY/edit?usp=share_link"",""นราธิวาส!J539"")+IMPORTRANGE(""https://docs.google.com/spreadsheets/d/1IwnW3-jjRf74MCLW-6P"&amp;"iFwMUffRQXZwZA7YM609NmRc/edit?usp=share_link"",""ปัตตานี!J539"")+IMPORTRANGE(""https://docs.google.com/spreadsheets/d/1vl4QWbWdFruual5o_wdo6ZSqXZ_it806oja4CctTLKs/edit?usp=share_link"",""พังงา!J539"")+IMPORTRANGE(""https://docs.google.com/spreadsheets/d/1"&amp;"b6QssHQp2FoAPSMKHOy273KNzAomaIKhtdlvuZ_zDNE/edit?usp=share_link"",""พัทลุง!J539"")+IMPORTRANGE(""https://docs.google.com/spreadsheets/d/1o7UZe4_OqlqtLDHrj01Z2YFRSZDf1DMy1n3XViHaxRc/edit?usp=share_link"",""ภูเก็ต!J539"")+IMPORTRANGE(""https://docs.google.c"&amp;"om/spreadsheets/d/1ctPm1vUzcUCPuOj9-eoHUD85PqINFqUB0TjdSWmR5-c/edit?usp=share_link"",""ยะลา!J539"")+IMPORTRANGE(""https://docs.google.com/spreadsheets/d/1YiDIE7Klmt8osgdapRqYWNr7iPGFSsiJqq46S7PYRE0/edit?usp=share_link"",""ระนอง!J539"")+IMPORTRANGE(""https"&amp;"://docs.google.com/spreadsheets/d/16o_4B-V7AWw_6E93bSpXj_XxVv1oVQctk-B6z1dNEWU/edit?usp=share_link"",""สงขลา!J539"")+IMPORTRANGE(""https://docs.google.com/spreadsheets/d/16cywr71Fj4fA5OGRHsZh30ZG2gwJhMAQv69oVBzYHv0/edit?usp=share_link"",""สตูล!J539"")+IMP"&amp;"ORTRANGE(""https://docs.google.com/spreadsheets/d/1vO9Sws6kMtrVtyvrAJptINXjK8TFBoX9xLYOVK_C8bQ/edit?usp=share_link"",""สุราษฎร์ธานี!J539"")"),160)</f>
        <v>160</v>
      </c>
      <c r="K539" s="38">
        <f t="shared" ca="1" si="269"/>
        <v>100</v>
      </c>
      <c r="L539" s="38"/>
      <c r="M539" s="38"/>
      <c r="N539" s="38"/>
      <c r="O539" s="38"/>
      <c r="P539" s="3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20.25" customHeight="1">
      <c r="A540" s="573"/>
      <c r="B540" s="574"/>
      <c r="C540" s="575"/>
      <c r="D540" s="576"/>
      <c r="E540" s="682" t="s">
        <v>231</v>
      </c>
      <c r="F540" s="575"/>
      <c r="G540" s="189"/>
      <c r="H540" s="36" t="s">
        <v>35</v>
      </c>
      <c r="I540" s="270">
        <f ca="1">IFERROR(__xludf.DUMMYFUNCTION("IMPORTRANGE(""https://docs.google.com/spreadsheets/d/1kC41EOXpGBFOW658Fs3oD8beYlym0-zO54WY-2Qnp9I/edit?usp=share_link"",""กระบี่!I540"")
+IMPORTRANGE(""https://docs.google.com/spreadsheets/d/1FbzMZY_f3MDiEuK7RpCQKrilJ_kpX0Wm7QBZ1L7EjIU/edit?usp=share_link"&amp;""",""ชุมพร!I540"")+IMPORTRANGE(""https://docs.google.com/spreadsheets/d/1v5sN-00LrXuhBxw4dkh2GrG_z4l5oAqOdJRBCsUyMaM/edit?usp=share_link"",""ตรัง!I540"")+IMPORTRANGE(""https://docs.google.com/spreadsheets/d/1T5rRTzFc79aSIvqnzkZNvwPstq829QYz_xALlO1Z0s8/edi"&amp;"t?usp=share_link"",""นครศรีธรรมราช!I540"")+IMPORTRANGE(""https://docs.google.com/spreadsheets/d/1BeghqumK0IvCmRd2QOy6_afsZq7ZtAGrSnVJy2u7WmY/edit?usp=share_link"",""นราธิวาส!I540"")+IMPORTRANGE(""https://docs.google.com/spreadsheets/d/1IwnW3-jjRf74MCLW-6P"&amp;"iFwMUffRQXZwZA7YM609NmRc/edit?usp=share_link"",""ปัตตานี!I540"")+IMPORTRANGE(""https://docs.google.com/spreadsheets/d/1vl4QWbWdFruual5o_wdo6ZSqXZ_it806oja4CctTLKs/edit?usp=share_link"",""พังงา!I540"")+IMPORTRANGE(""https://docs.google.com/spreadsheets/d/1"&amp;"b6QssHQp2FoAPSMKHOy273KNzAomaIKhtdlvuZ_zDNE/edit?usp=share_link"",""พัทลุง!I540"")+IMPORTRANGE(""https://docs.google.com/spreadsheets/d/1o7UZe4_OqlqtLDHrj01Z2YFRSZDf1DMy1n3XViHaxRc/edit?usp=share_link"",""ภูเก็ต!I540"")+IMPORTRANGE(""https://docs.google.c"&amp;"om/spreadsheets/d/1ctPm1vUzcUCPuOj9-eoHUD85PqINFqUB0TjdSWmR5-c/edit?usp=share_link"",""ยะลา!I540"")+IMPORTRANGE(""https://docs.google.com/spreadsheets/d/1YiDIE7Klmt8osgdapRqYWNr7iPGFSsiJqq46S7PYRE0/edit?usp=share_link"",""ระนอง!I540"")+IMPORTRANGE(""https"&amp;"://docs.google.com/spreadsheets/d/16o_4B-V7AWw_6E93bSpXj_XxVv1oVQctk-B6z1dNEWU/edit?usp=share_link"",""สงขลา!I540"")+IMPORTRANGE(""https://docs.google.com/spreadsheets/d/16cywr71Fj4fA5OGRHsZh30ZG2gwJhMAQv69oVBzYHv0/edit?usp=share_link"",""สตูล!I540"")+IMP"&amp;"ORTRANGE(""https://docs.google.com/spreadsheets/d/1vO9Sws6kMtrVtyvrAJptINXjK8TFBoX9xLYOVK_C8bQ/edit?usp=share_link"",""สุราษฎร์ธานี!I540"")"),160)</f>
        <v>160</v>
      </c>
      <c r="J540" s="183">
        <f ca="1">IFERROR(__xludf.DUMMYFUNCTION("IMPORTRANGE(""https://docs.google.com/spreadsheets/d/1kC41EOXpGBFOW658Fs3oD8beYlym0-zO54WY-2Qnp9I/edit?usp=share_link"",""กระบี่!J540"")
+IMPORTRANGE(""https://docs.google.com/spreadsheets/d/1FbzMZY_f3MDiEuK7RpCQKrilJ_kpX0Wm7QBZ1L7EjIU/edit?usp=share_link"&amp;""",""ชุมพร!J540"")+IMPORTRANGE(""https://docs.google.com/spreadsheets/d/1v5sN-00LrXuhBxw4dkh2GrG_z4l5oAqOdJRBCsUyMaM/edit?usp=share_link"",""ตรัง!J540"")+IMPORTRANGE(""https://docs.google.com/spreadsheets/d/1T5rRTzFc79aSIvqnzkZNvwPstq829QYz_xALlO1Z0s8/edi"&amp;"t?usp=share_link"",""นครศรีธรรมราช!J540"")+IMPORTRANGE(""https://docs.google.com/spreadsheets/d/1BeghqumK0IvCmRd2QOy6_afsZq7ZtAGrSnVJy2u7WmY/edit?usp=share_link"",""นราธิวาส!J540"")+IMPORTRANGE(""https://docs.google.com/spreadsheets/d/1IwnW3-jjRf74MCLW-6P"&amp;"iFwMUffRQXZwZA7YM609NmRc/edit?usp=share_link"",""ปัตตานี!J540"")+IMPORTRANGE(""https://docs.google.com/spreadsheets/d/1vl4QWbWdFruual5o_wdo6ZSqXZ_it806oja4CctTLKs/edit?usp=share_link"",""พังงา!J540"")+IMPORTRANGE(""https://docs.google.com/spreadsheets/d/1"&amp;"b6QssHQp2FoAPSMKHOy273KNzAomaIKhtdlvuZ_zDNE/edit?usp=share_link"",""พัทลุง!J540"")+IMPORTRANGE(""https://docs.google.com/spreadsheets/d/1o7UZe4_OqlqtLDHrj01Z2YFRSZDf1DMy1n3XViHaxRc/edit?usp=share_link"",""ภูเก็ต!J540"")+IMPORTRANGE(""https://docs.google.c"&amp;"om/spreadsheets/d/1ctPm1vUzcUCPuOj9-eoHUD85PqINFqUB0TjdSWmR5-c/edit?usp=share_link"",""ยะลา!J540"")+IMPORTRANGE(""https://docs.google.com/spreadsheets/d/1YiDIE7Klmt8osgdapRqYWNr7iPGFSsiJqq46S7PYRE0/edit?usp=share_link"",""ระนอง!J540"")+IMPORTRANGE(""https"&amp;"://docs.google.com/spreadsheets/d/16o_4B-V7AWw_6E93bSpXj_XxVv1oVQctk-B6z1dNEWU/edit?usp=share_link"",""สงขลา!J540"")+IMPORTRANGE(""https://docs.google.com/spreadsheets/d/16cywr71Fj4fA5OGRHsZh30ZG2gwJhMAQv69oVBzYHv0/edit?usp=share_link"",""สตูล!J540"")+IMP"&amp;"ORTRANGE(""https://docs.google.com/spreadsheets/d/1vO9Sws6kMtrVtyvrAJptINXjK8TFBoX9xLYOVK_C8bQ/edit?usp=share_link"",""สุราษฎร์ธานี!J540"")"),160)</f>
        <v>160</v>
      </c>
      <c r="K540" s="38">
        <f t="shared" ca="1" si="269"/>
        <v>100</v>
      </c>
      <c r="L540" s="38"/>
      <c r="M540" s="38"/>
      <c r="N540" s="38"/>
      <c r="O540" s="38"/>
      <c r="P540" s="3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20.25" customHeight="1">
      <c r="A541" s="573"/>
      <c r="B541" s="574"/>
      <c r="C541" s="575"/>
      <c r="D541" s="576"/>
      <c r="E541" s="683" t="s">
        <v>232</v>
      </c>
      <c r="F541" s="575"/>
      <c r="G541" s="189"/>
      <c r="H541" s="36" t="s">
        <v>35</v>
      </c>
      <c r="I541" s="270">
        <f ca="1">IFERROR(__xludf.DUMMYFUNCTION("IMPORTRANGE(""https://docs.google.com/spreadsheets/d/1kC41EOXpGBFOW658Fs3oD8beYlym0-zO54WY-2Qnp9I/edit?usp=share_link"",""กระบี่!I541"")
+IMPORTRANGE(""https://docs.google.com/spreadsheets/d/1FbzMZY_f3MDiEuK7RpCQKrilJ_kpX0Wm7QBZ1L7EjIU/edit?usp=share_link"&amp;""",""ชุมพร!I541"")+IMPORTRANGE(""https://docs.google.com/spreadsheets/d/1v5sN-00LrXuhBxw4dkh2GrG_z4l5oAqOdJRBCsUyMaM/edit?usp=share_link"",""ตรัง!I541"")+IMPORTRANGE(""https://docs.google.com/spreadsheets/d/1T5rRTzFc79aSIvqnzkZNvwPstq829QYz_xALlO1Z0s8/edi"&amp;"t?usp=share_link"",""นครศรีธรรมราช!I541"")+IMPORTRANGE(""https://docs.google.com/spreadsheets/d/1BeghqumK0IvCmRd2QOy6_afsZq7ZtAGrSnVJy2u7WmY/edit?usp=share_link"",""นราธิวาส!I541"")+IMPORTRANGE(""https://docs.google.com/spreadsheets/d/1IwnW3-jjRf74MCLW-6P"&amp;"iFwMUffRQXZwZA7YM609NmRc/edit?usp=share_link"",""ปัตตานี!I541"")+IMPORTRANGE(""https://docs.google.com/spreadsheets/d/1vl4QWbWdFruual5o_wdo6ZSqXZ_it806oja4CctTLKs/edit?usp=share_link"",""พังงา!I541"")+IMPORTRANGE(""https://docs.google.com/spreadsheets/d/1"&amp;"b6QssHQp2FoAPSMKHOy273KNzAomaIKhtdlvuZ_zDNE/edit?usp=share_link"",""พัทลุง!I541"")+IMPORTRANGE(""https://docs.google.com/spreadsheets/d/1o7UZe4_OqlqtLDHrj01Z2YFRSZDf1DMy1n3XViHaxRc/edit?usp=share_link"",""ภูเก็ต!I541"")+IMPORTRANGE(""https://docs.google.c"&amp;"om/spreadsheets/d/1ctPm1vUzcUCPuOj9-eoHUD85PqINFqUB0TjdSWmR5-c/edit?usp=share_link"",""ยะลา!I541"")+IMPORTRANGE(""https://docs.google.com/spreadsheets/d/1YiDIE7Klmt8osgdapRqYWNr7iPGFSsiJqq46S7PYRE0/edit?usp=share_link"",""ระนอง!I541"")+IMPORTRANGE(""https"&amp;"://docs.google.com/spreadsheets/d/16o_4B-V7AWw_6E93bSpXj_XxVv1oVQctk-B6z1dNEWU/edit?usp=share_link"",""สงขลา!I541"")+IMPORTRANGE(""https://docs.google.com/spreadsheets/d/16cywr71Fj4fA5OGRHsZh30ZG2gwJhMAQv69oVBzYHv0/edit?usp=share_link"",""สตูล!I541"")+IMP"&amp;"ORTRANGE(""https://docs.google.com/spreadsheets/d/1vO9Sws6kMtrVtyvrAJptINXjK8TFBoX9xLYOVK_C8bQ/edit?usp=share_link"",""สุราษฎร์ธานี!I541"")"),30)</f>
        <v>30</v>
      </c>
      <c r="J541" s="183">
        <f ca="1">IFERROR(__xludf.DUMMYFUNCTION("IMPORTRANGE(""https://docs.google.com/spreadsheets/d/1kC41EOXpGBFOW658Fs3oD8beYlym0-zO54WY-2Qnp9I/edit?usp=share_link"",""กระบี่!J541"")
+IMPORTRANGE(""https://docs.google.com/spreadsheets/d/1FbzMZY_f3MDiEuK7RpCQKrilJ_kpX0Wm7QBZ1L7EjIU/edit?usp=share_link"&amp;""",""ชุมพร!J541"")+IMPORTRANGE(""https://docs.google.com/spreadsheets/d/1v5sN-00LrXuhBxw4dkh2GrG_z4l5oAqOdJRBCsUyMaM/edit?usp=share_link"",""ตรัง!J541"")+IMPORTRANGE(""https://docs.google.com/spreadsheets/d/1T5rRTzFc79aSIvqnzkZNvwPstq829QYz_xALlO1Z0s8/edi"&amp;"t?usp=share_link"",""นครศรีธรรมราช!J541"")+IMPORTRANGE(""https://docs.google.com/spreadsheets/d/1BeghqumK0IvCmRd2QOy6_afsZq7ZtAGrSnVJy2u7WmY/edit?usp=share_link"",""นราธิวาส!J541"")+IMPORTRANGE(""https://docs.google.com/spreadsheets/d/1IwnW3-jjRf74MCLW-6P"&amp;"iFwMUffRQXZwZA7YM609NmRc/edit?usp=share_link"",""ปัตตานี!J541"")+IMPORTRANGE(""https://docs.google.com/spreadsheets/d/1vl4QWbWdFruual5o_wdo6ZSqXZ_it806oja4CctTLKs/edit?usp=share_link"",""พังงา!J541"")+IMPORTRANGE(""https://docs.google.com/spreadsheets/d/1"&amp;"b6QssHQp2FoAPSMKHOy273KNzAomaIKhtdlvuZ_zDNE/edit?usp=share_link"",""พัทลุง!J541"")+IMPORTRANGE(""https://docs.google.com/spreadsheets/d/1o7UZe4_OqlqtLDHrj01Z2YFRSZDf1DMy1n3XViHaxRc/edit?usp=share_link"",""ภูเก็ต!J541"")+IMPORTRANGE(""https://docs.google.c"&amp;"om/spreadsheets/d/1ctPm1vUzcUCPuOj9-eoHUD85PqINFqUB0TjdSWmR5-c/edit?usp=share_link"",""ยะลา!J541"")+IMPORTRANGE(""https://docs.google.com/spreadsheets/d/1YiDIE7Klmt8osgdapRqYWNr7iPGFSsiJqq46S7PYRE0/edit?usp=share_link"",""ระนอง!J541"")+IMPORTRANGE(""https"&amp;"://docs.google.com/spreadsheets/d/16o_4B-V7AWw_6E93bSpXj_XxVv1oVQctk-B6z1dNEWU/edit?usp=share_link"",""สงขลา!J541"")+IMPORTRANGE(""https://docs.google.com/spreadsheets/d/16cywr71Fj4fA5OGRHsZh30ZG2gwJhMAQv69oVBzYHv0/edit?usp=share_link"",""สตูล!J541"")+IMP"&amp;"ORTRANGE(""https://docs.google.com/spreadsheets/d/1vO9Sws6kMtrVtyvrAJptINXjK8TFBoX9xLYOVK_C8bQ/edit?usp=share_link"",""สุราษฎร์ธานี!J541"")"),30)</f>
        <v>30</v>
      </c>
      <c r="K541" s="38">
        <f t="shared" ca="1" si="269"/>
        <v>100</v>
      </c>
      <c r="L541" s="38"/>
      <c r="M541" s="38"/>
      <c r="N541" s="38"/>
      <c r="O541" s="38"/>
      <c r="P541" s="3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20.25" customHeight="1">
      <c r="A542" s="573"/>
      <c r="B542" s="574"/>
      <c r="C542" s="575"/>
      <c r="D542" s="576" t="s">
        <v>59</v>
      </c>
      <c r="E542" s="575"/>
      <c r="F542" s="575"/>
      <c r="G542" s="189"/>
      <c r="H542" s="36" t="s">
        <v>35</v>
      </c>
      <c r="I542" s="37">
        <f ca="1">IFERROR(__xludf.DUMMYFUNCTION("IMPORTRANGE(""https://docs.google.com/spreadsheets/d/1kC41EOXpGBFOW658Fs3oD8beYlym0-zO54WY-2Qnp9I/edit?usp=share_link"",""กระบี่!I542"")
+IMPORTRANGE(""https://docs.google.com/spreadsheets/d/1FbzMZY_f3MDiEuK7RpCQKrilJ_kpX0Wm7QBZ1L7EjIU/edit?usp=share_link"&amp;""",""ชุมพร!I542"")+IMPORTRANGE(""https://docs.google.com/spreadsheets/d/1v5sN-00LrXuhBxw4dkh2GrG_z4l5oAqOdJRBCsUyMaM/edit?usp=share_link"",""ตรัง!I542"")+IMPORTRANGE(""https://docs.google.com/spreadsheets/d/1T5rRTzFc79aSIvqnzkZNvwPstq829QYz_xALlO1Z0s8/edi"&amp;"t?usp=share_link"",""นครศรีธรรมราช!I542"")+IMPORTRANGE(""https://docs.google.com/spreadsheets/d/1BeghqumK0IvCmRd2QOy6_afsZq7ZtAGrSnVJy2u7WmY/edit?usp=share_link"",""นราธิวาส!I542"")+IMPORTRANGE(""https://docs.google.com/spreadsheets/d/1IwnW3-jjRf74MCLW-6P"&amp;"iFwMUffRQXZwZA7YM609NmRc/edit?usp=share_link"",""ปัตตานี!I542"")+IMPORTRANGE(""https://docs.google.com/spreadsheets/d/1vl4QWbWdFruual5o_wdo6ZSqXZ_it806oja4CctTLKs/edit?usp=share_link"",""พังงา!I542"")+IMPORTRANGE(""https://docs.google.com/spreadsheets/d/1"&amp;"b6QssHQp2FoAPSMKHOy273KNzAomaIKhtdlvuZ_zDNE/edit?usp=share_link"",""พัทลุง!I542"")+IMPORTRANGE(""https://docs.google.com/spreadsheets/d/1o7UZe4_OqlqtLDHrj01Z2YFRSZDf1DMy1n3XViHaxRc/edit?usp=share_link"",""ภูเก็ต!I542"")+IMPORTRANGE(""https://docs.google.c"&amp;"om/spreadsheets/d/1ctPm1vUzcUCPuOj9-eoHUD85PqINFqUB0TjdSWmR5-c/edit?usp=share_link"",""ยะลา!I542"")+IMPORTRANGE(""https://docs.google.com/spreadsheets/d/1YiDIE7Klmt8osgdapRqYWNr7iPGFSsiJqq46S7PYRE0/edit?usp=share_link"",""ระนอง!I542"")+IMPORTRANGE(""https"&amp;"://docs.google.com/spreadsheets/d/16o_4B-V7AWw_6E93bSpXj_XxVv1oVQctk-B6z1dNEWU/edit?usp=share_link"",""สงขลา!I542"")+IMPORTRANGE(""https://docs.google.com/spreadsheets/d/16cywr71Fj4fA5OGRHsZh30ZG2gwJhMAQv69oVBzYHv0/edit?usp=share_link"",""สตูล!I542"")+IMP"&amp;"ORTRANGE(""https://docs.google.com/spreadsheets/d/1vO9Sws6kMtrVtyvrAJptINXjK8TFBoX9xLYOVK_C8bQ/edit?usp=share_link"",""สุราษฎร์ธานี!I542"")"),190)</f>
        <v>190</v>
      </c>
      <c r="J542" s="183">
        <f ca="1">IFERROR(__xludf.DUMMYFUNCTION("IMPORTRANGE(""https://docs.google.com/spreadsheets/d/1kC41EOXpGBFOW658Fs3oD8beYlym0-zO54WY-2Qnp9I/edit?usp=share_link"",""กระบี่!J542"")
+IMPORTRANGE(""https://docs.google.com/spreadsheets/d/1FbzMZY_f3MDiEuK7RpCQKrilJ_kpX0Wm7QBZ1L7EjIU/edit?usp=share_link"&amp;""",""ชุมพร!J542"")+IMPORTRANGE(""https://docs.google.com/spreadsheets/d/1v5sN-00LrXuhBxw4dkh2GrG_z4l5oAqOdJRBCsUyMaM/edit?usp=share_link"",""ตรัง!J542"")+IMPORTRANGE(""https://docs.google.com/spreadsheets/d/1T5rRTzFc79aSIvqnzkZNvwPstq829QYz_xALlO1Z0s8/edi"&amp;"t?usp=share_link"",""นครศรีธรรมราช!J542"")+IMPORTRANGE(""https://docs.google.com/spreadsheets/d/1BeghqumK0IvCmRd2QOy6_afsZq7ZtAGrSnVJy2u7WmY/edit?usp=share_link"",""นราธิวาส!J542"")+IMPORTRANGE(""https://docs.google.com/spreadsheets/d/1IwnW3-jjRf74MCLW-6P"&amp;"iFwMUffRQXZwZA7YM609NmRc/edit?usp=share_link"",""ปัตตานี!J542"")+IMPORTRANGE(""https://docs.google.com/spreadsheets/d/1vl4QWbWdFruual5o_wdo6ZSqXZ_it806oja4CctTLKs/edit?usp=share_link"",""พังงา!J542"")+IMPORTRANGE(""https://docs.google.com/spreadsheets/d/1"&amp;"b6QssHQp2FoAPSMKHOy273KNzAomaIKhtdlvuZ_zDNE/edit?usp=share_link"",""พัทลุง!J542"")+IMPORTRANGE(""https://docs.google.com/spreadsheets/d/1o7UZe4_OqlqtLDHrj01Z2YFRSZDf1DMy1n3XViHaxRc/edit?usp=share_link"",""ภูเก็ต!J542"")+IMPORTRANGE(""https://docs.google.c"&amp;"om/spreadsheets/d/1ctPm1vUzcUCPuOj9-eoHUD85PqINFqUB0TjdSWmR5-c/edit?usp=share_link"",""ยะลา!J542"")+IMPORTRANGE(""https://docs.google.com/spreadsheets/d/1YiDIE7Klmt8osgdapRqYWNr7iPGFSsiJqq46S7PYRE0/edit?usp=share_link"",""ระนอง!J542"")+IMPORTRANGE(""https"&amp;"://docs.google.com/spreadsheets/d/16o_4B-V7AWw_6E93bSpXj_XxVv1oVQctk-B6z1dNEWU/edit?usp=share_link"",""สงขลา!J542"")+IMPORTRANGE(""https://docs.google.com/spreadsheets/d/16cywr71Fj4fA5OGRHsZh30ZG2gwJhMAQv69oVBzYHv0/edit?usp=share_link"",""สตูล!J542"")+IMP"&amp;"ORTRANGE(""https://docs.google.com/spreadsheets/d/1vO9Sws6kMtrVtyvrAJptINXjK8TFBoX9xLYOVK_C8bQ/edit?usp=share_link"",""สุราษฎร์ธานี!J542"")"),80)</f>
        <v>80</v>
      </c>
      <c r="K542" s="38">
        <f t="shared" ca="1" si="269"/>
        <v>42.10526315789474</v>
      </c>
      <c r="L542" s="38"/>
      <c r="M542" s="38"/>
      <c r="N542" s="38"/>
      <c r="O542" s="38"/>
      <c r="P542" s="3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20.25" customHeight="1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70">I559</f>
        <v>380540</v>
      </c>
      <c r="J543" s="686">
        <f t="shared" ca="1" si="270"/>
        <v>361645.17499999999</v>
      </c>
      <c r="K543" s="687">
        <f t="shared" ca="1" si="269"/>
        <v>95.034733536553318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20.25" customHeight="1">
      <c r="A544" s="688"/>
      <c r="B544" s="689"/>
      <c r="C544" s="689" t="s">
        <v>16</v>
      </c>
      <c r="D544" s="850" t="s">
        <v>17</v>
      </c>
      <c r="E544" s="847"/>
      <c r="F544" s="847"/>
      <c r="G544" s="690"/>
      <c r="H544" s="275" t="s">
        <v>12</v>
      </c>
      <c r="I544" s="153"/>
      <c r="J544" s="153"/>
      <c r="K544" s="154"/>
      <c r="L544" s="155">
        <f t="shared" ref="L544:N544" ca="1" si="271">L545+L546</f>
        <v>5238283</v>
      </c>
      <c r="M544" s="155">
        <f t="shared" ca="1" si="271"/>
        <v>5637978</v>
      </c>
      <c r="N544" s="155">
        <f t="shared" ca="1" si="271"/>
        <v>4305551.3799999896</v>
      </c>
      <c r="O544" s="155">
        <f t="shared" ref="O544:O549" ca="1" si="272">IF(L544&gt;0,N544*100/L544,0)</f>
        <v>82.193943702545084</v>
      </c>
      <c r="P544" s="155">
        <f t="shared" ref="P544:P549" ca="1" si="273">IF(M544&gt;0,N544*100/M544,0)</f>
        <v>76.36694183623969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20.25" hidden="1" customHeight="1">
      <c r="A545" s="598"/>
      <c r="B545" s="599"/>
      <c r="C545" s="599"/>
      <c r="D545" s="599"/>
      <c r="E545" s="601" t="s">
        <v>185</v>
      </c>
      <c r="F545" s="599"/>
      <c r="G545" s="602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20.25" hidden="1" customHeight="1">
      <c r="A546" s="598"/>
      <c r="B546" s="604"/>
      <c r="C546" s="599"/>
      <c r="D546" s="599"/>
      <c r="E546" s="601" t="s">
        <v>186</v>
      </c>
      <c r="F546" s="599"/>
      <c r="G546" s="602"/>
      <c r="H546" s="165" t="s">
        <v>12</v>
      </c>
      <c r="I546" s="44"/>
      <c r="J546" s="44"/>
      <c r="K546" s="45"/>
      <c r="L546" s="45">
        <f t="shared" ca="1" si="274"/>
        <v>5238283</v>
      </c>
      <c r="M546" s="45">
        <f t="shared" ref="M546:N546" ca="1" si="276">M549+M556</f>
        <v>5637978</v>
      </c>
      <c r="N546" s="45">
        <f t="shared" ca="1" si="276"/>
        <v>4305551.3799999896</v>
      </c>
      <c r="O546" s="45">
        <f t="shared" ca="1" si="272"/>
        <v>82.193943702545084</v>
      </c>
      <c r="P546" s="45">
        <f t="shared" ca="1" si="273"/>
        <v>76.36694183623969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20.25" customHeight="1">
      <c r="A547" s="596"/>
      <c r="B547" s="574"/>
      <c r="C547" s="575"/>
      <c r="D547" s="605" t="s">
        <v>20</v>
      </c>
      <c r="E547" s="575"/>
      <c r="F547" s="575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5238283</v>
      </c>
      <c r="M547" s="38">
        <f t="shared" ca="1" si="277"/>
        <v>5637978</v>
      </c>
      <c r="N547" s="38">
        <f t="shared" ca="1" si="277"/>
        <v>4305551.3799999896</v>
      </c>
      <c r="O547" s="38">
        <f t="shared" ca="1" si="272"/>
        <v>82.193943702545084</v>
      </c>
      <c r="P547" s="38">
        <f t="shared" ca="1" si="273"/>
        <v>76.36694183623969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20.25" hidden="1" customHeight="1">
      <c r="A548" s="598"/>
      <c r="B548" s="604"/>
      <c r="C548" s="599"/>
      <c r="D548" s="600"/>
      <c r="E548" s="601" t="s">
        <v>185</v>
      </c>
      <c r="F548" s="599"/>
      <c r="G548" s="602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20.25" hidden="1" customHeight="1">
      <c r="A549" s="598"/>
      <c r="B549" s="604"/>
      <c r="C549" s="599"/>
      <c r="D549" s="600"/>
      <c r="E549" s="601" t="s">
        <v>186</v>
      </c>
      <c r="F549" s="599"/>
      <c r="G549" s="602"/>
      <c r="H549" s="165" t="s">
        <v>12</v>
      </c>
      <c r="I549" s="44"/>
      <c r="J549" s="44"/>
      <c r="K549" s="45"/>
      <c r="L549" s="45">
        <f ca="1">IFERROR(__xludf.DUMMYFUNCTION("IMPORTRANGE(""https://docs.google.com/spreadsheets/d/1kC41EOXpGBFOW658Fs3oD8beYlym0-zO54WY-2Qnp9I/edit?usp=share_link"",""กระบี่!L549"")
+IMPORTRANGE(""https://docs.google.com/spreadsheets/d/1FbzMZY_f3MDiEuK7RpCQKrilJ_kpX0Wm7QBZ1L7EjIU/edit?usp=share_link"&amp;""",""ชุมพร!L549"")+IMPORTRANGE(""https://docs.google.com/spreadsheets/d/1v5sN-00LrXuhBxw4dkh2GrG_z4l5oAqOdJRBCsUyMaM/edit?usp=share_link"",""ตรัง!L549"")+IMPORTRANGE(""https://docs.google.com/spreadsheets/d/1T5rRTzFc79aSIvqnzkZNvwPstq829QYz_xALlO1Z0s8/edi"&amp;"t?usp=share_link"",""นครศรีธรรมราช!L549"")+IMPORTRANGE(""https://docs.google.com/spreadsheets/d/1BeghqumK0IvCmRd2QOy6_afsZq7ZtAGrSnVJy2u7WmY/edit?usp=share_link"",""นราธิวาส!L549"")+IMPORTRANGE(""https://docs.google.com/spreadsheets/d/1IwnW3-jjRf74MCLW-6P"&amp;"iFwMUffRQXZwZA7YM609NmRc/edit?usp=share_link"",""ปัตตานี!L549"")+IMPORTRANGE(""https://docs.google.com/spreadsheets/d/1vl4QWbWdFruual5o_wdo6ZSqXZ_it806oja4CctTLKs/edit?usp=share_link"",""พังงา!L549"")+IMPORTRANGE(""https://docs.google.com/spreadsheets/d/1"&amp;"b6QssHQp2FoAPSMKHOy273KNzAomaIKhtdlvuZ_zDNE/edit?usp=share_link"",""พัทลุง!L549"")+IMPORTRANGE(""https://docs.google.com/spreadsheets/d/1o7UZe4_OqlqtLDHrj01Z2YFRSZDf1DMy1n3XViHaxRc/edit?usp=share_link"",""ภูเก็ต!L549"")+IMPORTRANGE(""https://docs.google.c"&amp;"om/spreadsheets/d/1ctPm1vUzcUCPuOj9-eoHUD85PqINFqUB0TjdSWmR5-c/edit?usp=share_link"",""ยะลา!L549"")+IMPORTRANGE(""https://docs.google.com/spreadsheets/d/1YiDIE7Klmt8osgdapRqYWNr7iPGFSsiJqq46S7PYRE0/edit?usp=share_link"",""ระนอง!L549"")+IMPORTRANGE(""https"&amp;"://docs.google.com/spreadsheets/d/16o_4B-V7AWw_6E93bSpXj_XxVv1oVQctk-B6z1dNEWU/edit?usp=share_link"",""สงขลา!L549"")+IMPORTRANGE(""https://docs.google.com/spreadsheets/d/16cywr71Fj4fA5OGRHsZh30ZG2gwJhMAQv69oVBzYHv0/edit?usp=share_link"",""สตูล!L549"")+IMP"&amp;"ORTRANGE(""https://docs.google.com/spreadsheets/d/1vO9Sws6kMtrVtyvrAJptINXjK8TFBoX9xLYOVK_C8bQ/edit?usp=share_link"",""สุราษฎร์ธานี!L549"")"),5238283)</f>
        <v>5238283</v>
      </c>
      <c r="M549" s="93">
        <f ca="1">IFERROR(__xludf.DUMMYFUNCTION("IMPORTRANGE(""https://docs.google.com/spreadsheets/d/1kC41EOXpGBFOW658Fs3oD8beYlym0-zO54WY-2Qnp9I/edit?usp=share_link"",""กระบี่!M549"")
+IMPORTRANGE(""https://docs.google.com/spreadsheets/d/1FbzMZY_f3MDiEuK7RpCQKrilJ_kpX0Wm7QBZ1L7EjIU/edit?usp=share_link"&amp;""",""ชุมพร!M549"")+IMPORTRANGE(""https://docs.google.com/spreadsheets/d/1v5sN-00LrXuhBxw4dkh2GrG_z4l5oAqOdJRBCsUyMaM/edit?usp=share_link"",""ตรัง!M549"")+IMPORTRANGE(""https://docs.google.com/spreadsheets/d/1T5rRTzFc79aSIvqnzkZNvwPstq829QYz_xALlO1Z0s8/edi"&amp;"t?usp=share_link"",""นครศรีธรรมราช!M549"")+IMPORTRANGE(""https://docs.google.com/spreadsheets/d/1BeghqumK0IvCmRd2QOy6_afsZq7ZtAGrSnVJy2u7WmY/edit?usp=share_link"",""นราธิวาส!M549"")+IMPORTRANGE(""https://docs.google.com/spreadsheets/d/1IwnW3-jjRf74MCLW-6P"&amp;"iFwMUffRQXZwZA7YM609NmRc/edit?usp=share_link"",""ปัตตานี!M549"")+IMPORTRANGE(""https://docs.google.com/spreadsheets/d/1vl4QWbWdFruual5o_wdo6ZSqXZ_it806oja4CctTLKs/edit?usp=share_link"",""พังงา!M549"")+IMPORTRANGE(""https://docs.google.com/spreadsheets/d/1"&amp;"b6QssHQp2FoAPSMKHOy273KNzAomaIKhtdlvuZ_zDNE/edit?usp=share_link"",""พัทลุง!M549"")+IMPORTRANGE(""https://docs.google.com/spreadsheets/d/1o7UZe4_OqlqtLDHrj01Z2YFRSZDf1DMy1n3XViHaxRc/edit?usp=share_link"",""ภูเก็ต!M549"")+IMPORTRANGE(""https://docs.google.c"&amp;"om/spreadsheets/d/1ctPm1vUzcUCPuOj9-eoHUD85PqINFqUB0TjdSWmR5-c/edit?usp=share_link"",""ยะลา!M549"")+IMPORTRANGE(""https://docs.google.com/spreadsheets/d/1YiDIE7Klmt8osgdapRqYWNr7iPGFSsiJqq46S7PYRE0/edit?usp=share_link"",""ระนอง!M549"")+IMPORTRANGE(""https"&amp;"://docs.google.com/spreadsheets/d/16o_4B-V7AWw_6E93bSpXj_XxVv1oVQctk-B6z1dNEWU/edit?usp=share_link"",""สงขลา!M549"")+IMPORTRANGE(""https://docs.google.com/spreadsheets/d/16cywr71Fj4fA5OGRHsZh30ZG2gwJhMAQv69oVBzYHv0/edit?usp=share_link"",""สตูล!M549"")+IMP"&amp;"ORTRANGE(""https://docs.google.com/spreadsheets/d/1vO9Sws6kMtrVtyvrAJptINXjK8TFBoX9xLYOVK_C8bQ/edit?usp=share_link"",""สุราษฎร์ธานี!M549"")"),5637978)</f>
        <v>5637978</v>
      </c>
      <c r="N549" s="45">
        <f ca="1">N550+N551+N552+N553+N554</f>
        <v>4305551.3799999896</v>
      </c>
      <c r="O549" s="45">
        <f t="shared" ca="1" si="272"/>
        <v>82.193943702545084</v>
      </c>
      <c r="P549" s="45">
        <f t="shared" ca="1" si="273"/>
        <v>76.36694183623969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20.25" customHeight="1">
      <c r="A550" s="573"/>
      <c r="B550" s="574"/>
      <c r="C550" s="575"/>
      <c r="D550" s="575"/>
      <c r="E550" s="575"/>
      <c r="F550" s="576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IFERROR(__xludf.DUMMYFUNCTION("IMPORTRANGE(""https://docs.google.com/spreadsheets/d/1kC41EOXpGBFOW658Fs3oD8beYlym0-zO54WY-2Qnp9I/edit?usp=share_link"",""กระบี่!N550"")
+IMPORTRANGE(""https://docs.google.com/spreadsheets/d/1FbzMZY_f3MDiEuK7RpCQKrilJ_kpX0Wm7QBZ1L7EjIU/edit?usp=share_link"&amp;""",""ชุมพร!N550"")+IMPORTRANGE(""https://docs.google.com/spreadsheets/d/1v5sN-00LrXuhBxw4dkh2GrG_z4l5oAqOdJRBCsUyMaM/edit?usp=share_link"",""ตรัง!N550"")+IMPORTRANGE(""https://docs.google.com/spreadsheets/d/1T5rRTzFc79aSIvqnzkZNvwPstq829QYz_xALlO1Z0s8/edi"&amp;"t?usp=share_link"",""นครศรีธรรมราช!N550"")+IMPORTRANGE(""https://docs.google.com/spreadsheets/d/1BeghqumK0IvCmRd2QOy6_afsZq7ZtAGrSnVJy2u7WmY/edit?usp=share_link"",""นราธิวาส!N550"")+IMPORTRANGE(""https://docs.google.com/spreadsheets/d/1IwnW3-jjRf74MCLW-6P"&amp;"iFwMUffRQXZwZA7YM609NmRc/edit?usp=share_link"",""ปัตตานี!N550"")+IMPORTRANGE(""https://docs.google.com/spreadsheets/d/1vl4QWbWdFruual5o_wdo6ZSqXZ_it806oja4CctTLKs/edit?usp=share_link"",""พังงา!N550"")+IMPORTRANGE(""https://docs.google.com/spreadsheets/d/1"&amp;"b6QssHQp2FoAPSMKHOy273KNzAomaIKhtdlvuZ_zDNE/edit?usp=share_link"",""พัทลุง!N550"")+IMPORTRANGE(""https://docs.google.com/spreadsheets/d/1o7UZe4_OqlqtLDHrj01Z2YFRSZDf1DMy1n3XViHaxRc/edit?usp=share_link"",""ภูเก็ต!N550"")+IMPORTRANGE(""https://docs.google.c"&amp;"om/spreadsheets/d/1ctPm1vUzcUCPuOj9-eoHUD85PqINFqUB0TjdSWmR5-c/edit?usp=share_link"",""ยะลา!N550"")+IMPORTRANGE(""https://docs.google.com/spreadsheets/d/1YiDIE7Klmt8osgdapRqYWNr7iPGFSsiJqq46S7PYRE0/edit?usp=share_link"",""ระนอง!N550"")+IMPORTRANGE(""https"&amp;"://docs.google.com/spreadsheets/d/16o_4B-V7AWw_6E93bSpXj_XxVv1oVQctk-B6z1dNEWU/edit?usp=share_link"",""สงขลา!N550"")+IMPORTRANGE(""https://docs.google.com/spreadsheets/d/16cywr71Fj4fA5OGRHsZh30ZG2gwJhMAQv69oVBzYHv0/edit?usp=share_link"",""สตูล!N550"")+IMP"&amp;"ORTRANGE(""https://docs.google.com/spreadsheets/d/1vO9Sws6kMtrVtyvrAJptINXjK8TFBoX9xLYOVK_C8bQ/edit?usp=share_link"",""สุราษฎร์ธานี!N550"")"),25642.5)</f>
        <v>25642.5</v>
      </c>
      <c r="O550" s="38"/>
      <c r="P550" s="3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20.25" customHeight="1">
      <c r="A551" s="573"/>
      <c r="B551" s="574"/>
      <c r="C551" s="574"/>
      <c r="D551" s="574"/>
      <c r="E551" s="575"/>
      <c r="F551" s="576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IFERROR(__xludf.DUMMYFUNCTION("IMPORTRANGE(""https://docs.google.com/spreadsheets/d/1kC41EOXpGBFOW658Fs3oD8beYlym0-zO54WY-2Qnp9I/edit?usp=share_link"",""กระบี่!N551"")
+IMPORTRANGE(""https://docs.google.com/spreadsheets/d/1FbzMZY_f3MDiEuK7RpCQKrilJ_kpX0Wm7QBZ1L7EjIU/edit?usp=share_link"&amp;""",""ชุมพร!N551"")+IMPORTRANGE(""https://docs.google.com/spreadsheets/d/1v5sN-00LrXuhBxw4dkh2GrG_z4l5oAqOdJRBCsUyMaM/edit?usp=share_link"",""ตรัง!N551"")+IMPORTRANGE(""https://docs.google.com/spreadsheets/d/1T5rRTzFc79aSIvqnzkZNvwPstq829QYz_xALlO1Z0s8/edi"&amp;"t?usp=share_link"",""นครศรีธรรมราช!N551"")+IMPORTRANGE(""https://docs.google.com/spreadsheets/d/1BeghqumK0IvCmRd2QOy6_afsZq7ZtAGrSnVJy2u7WmY/edit?usp=share_link"",""นราธิวาส!N551"")+IMPORTRANGE(""https://docs.google.com/spreadsheets/d/1IwnW3-jjRf74MCLW-6P"&amp;"iFwMUffRQXZwZA7YM609NmRc/edit?usp=share_link"",""ปัตตานี!N551"")+IMPORTRANGE(""https://docs.google.com/spreadsheets/d/1vl4QWbWdFruual5o_wdo6ZSqXZ_it806oja4CctTLKs/edit?usp=share_link"",""พังงา!N551"")+IMPORTRANGE(""https://docs.google.com/spreadsheets/d/1"&amp;"b6QssHQp2FoAPSMKHOy273KNzAomaIKhtdlvuZ_zDNE/edit?usp=share_link"",""พัทลุง!N551"")+IMPORTRANGE(""https://docs.google.com/spreadsheets/d/1o7UZe4_OqlqtLDHrj01Z2YFRSZDf1DMy1n3XViHaxRc/edit?usp=share_link"",""ภูเก็ต!N551"")+IMPORTRANGE(""https://docs.google.c"&amp;"om/spreadsheets/d/1ctPm1vUzcUCPuOj9-eoHUD85PqINFqUB0TjdSWmR5-c/edit?usp=share_link"",""ยะลา!N551"")+IMPORTRANGE(""https://docs.google.com/spreadsheets/d/1YiDIE7Klmt8osgdapRqYWNr7iPGFSsiJqq46S7PYRE0/edit?usp=share_link"",""ระนอง!N551"")+IMPORTRANGE(""https"&amp;"://docs.google.com/spreadsheets/d/16o_4B-V7AWw_6E93bSpXj_XxVv1oVQctk-B6z1dNEWU/edit?usp=share_link"",""สงขลา!N551"")+IMPORTRANGE(""https://docs.google.com/spreadsheets/d/16cywr71Fj4fA5OGRHsZh30ZG2gwJhMAQv69oVBzYHv0/edit?usp=share_link"",""สตูล!N551"")+IMP"&amp;"ORTRANGE(""https://docs.google.com/spreadsheets/d/1vO9Sws6kMtrVtyvrAJptINXjK8TFBoX9xLYOVK_C8bQ/edit?usp=share_link"",""สุราษฎร์ธานี!N551"")"),39910)</f>
        <v>39910</v>
      </c>
      <c r="O551" s="38"/>
      <c r="P551" s="3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20.25" customHeight="1">
      <c r="A552" s="573"/>
      <c r="B552" s="574"/>
      <c r="C552" s="575"/>
      <c r="D552" s="575"/>
      <c r="E552" s="575"/>
      <c r="F552" s="576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IFERROR(__xludf.DUMMYFUNCTION("IMPORTRANGE(""https://docs.google.com/spreadsheets/d/1kC41EOXpGBFOW658Fs3oD8beYlym0-zO54WY-2Qnp9I/edit?usp=share_link"",""กระบี่!N552"")
+IMPORTRANGE(""https://docs.google.com/spreadsheets/d/1FbzMZY_f3MDiEuK7RpCQKrilJ_kpX0Wm7QBZ1L7EjIU/edit?usp=share_link"&amp;""",""ชุมพร!N552"")+IMPORTRANGE(""https://docs.google.com/spreadsheets/d/1v5sN-00LrXuhBxw4dkh2GrG_z4l5oAqOdJRBCsUyMaM/edit?usp=share_link"",""ตรัง!N552"")+IMPORTRANGE(""https://docs.google.com/spreadsheets/d/1T5rRTzFc79aSIvqnzkZNvwPstq829QYz_xALlO1Z0s8/edi"&amp;"t?usp=share_link"",""นครศรีธรรมราช!N552"")+IMPORTRANGE(""https://docs.google.com/spreadsheets/d/1BeghqumK0IvCmRd2QOy6_afsZq7ZtAGrSnVJy2u7WmY/edit?usp=share_link"",""นราธิวาส!N552"")+IMPORTRANGE(""https://docs.google.com/spreadsheets/d/1IwnW3-jjRf74MCLW-6P"&amp;"iFwMUffRQXZwZA7YM609NmRc/edit?usp=share_link"",""ปัตตานี!N552"")+IMPORTRANGE(""https://docs.google.com/spreadsheets/d/1vl4QWbWdFruual5o_wdo6ZSqXZ_it806oja4CctTLKs/edit?usp=share_link"",""พังงา!N552"")+IMPORTRANGE(""https://docs.google.com/spreadsheets/d/1"&amp;"b6QssHQp2FoAPSMKHOy273KNzAomaIKhtdlvuZ_zDNE/edit?usp=share_link"",""พัทลุง!N552"")+IMPORTRANGE(""https://docs.google.com/spreadsheets/d/1o7UZe4_OqlqtLDHrj01Z2YFRSZDf1DMy1n3XViHaxRc/edit?usp=share_link"",""ภูเก็ต!N552"")+IMPORTRANGE(""https://docs.google.c"&amp;"om/spreadsheets/d/1ctPm1vUzcUCPuOj9-eoHUD85PqINFqUB0TjdSWmR5-c/edit?usp=share_link"",""ยะลา!N552"")+IMPORTRANGE(""https://docs.google.com/spreadsheets/d/1YiDIE7Klmt8osgdapRqYWNr7iPGFSsiJqq46S7PYRE0/edit?usp=share_link"",""ระนอง!N552"")+IMPORTRANGE(""https"&amp;"://docs.google.com/spreadsheets/d/16o_4B-V7AWw_6E93bSpXj_XxVv1oVQctk-B6z1dNEWU/edit?usp=share_link"",""สงขลา!N552"")+IMPORTRANGE(""https://docs.google.com/spreadsheets/d/16cywr71Fj4fA5OGRHsZh30ZG2gwJhMAQv69oVBzYHv0/edit?usp=share_link"",""สตูล!N552"")+IMP"&amp;"ORTRANGE(""https://docs.google.com/spreadsheets/d/1vO9Sws6kMtrVtyvrAJptINXjK8TFBoX9xLYOVK_C8bQ/edit?usp=share_link"",""สุราษฎร์ธานี!N552"")"),1090743.11999999)</f>
        <v>1090743.1199999901</v>
      </c>
      <c r="O552" s="38"/>
      <c r="P552" s="3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20.25" customHeight="1">
      <c r="A553" s="573"/>
      <c r="B553" s="574"/>
      <c r="C553" s="574"/>
      <c r="D553" s="574"/>
      <c r="E553" s="575"/>
      <c r="F553" s="576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IFERROR(__xludf.DUMMYFUNCTION("IMPORTRANGE(""https://docs.google.com/spreadsheets/d/1kC41EOXpGBFOW658Fs3oD8beYlym0-zO54WY-2Qnp9I/edit?usp=share_link"",""กระบี่!N553"")
+IMPORTRANGE(""https://docs.google.com/spreadsheets/d/1FbzMZY_f3MDiEuK7RpCQKrilJ_kpX0Wm7QBZ1L7EjIU/edit?usp=share_link"&amp;""",""ชุมพร!N553"")+IMPORTRANGE(""https://docs.google.com/spreadsheets/d/1v5sN-00LrXuhBxw4dkh2GrG_z4l5oAqOdJRBCsUyMaM/edit?usp=share_link"",""ตรัง!N553"")+IMPORTRANGE(""https://docs.google.com/spreadsheets/d/1T5rRTzFc79aSIvqnzkZNvwPstq829QYz_xALlO1Z0s8/edi"&amp;"t?usp=share_link"",""นครศรีธรรมราช!N553"")+IMPORTRANGE(""https://docs.google.com/spreadsheets/d/1BeghqumK0IvCmRd2QOy6_afsZq7ZtAGrSnVJy2u7WmY/edit?usp=share_link"",""นราธิวาส!N553"")+IMPORTRANGE(""https://docs.google.com/spreadsheets/d/1IwnW3-jjRf74MCLW-6P"&amp;"iFwMUffRQXZwZA7YM609NmRc/edit?usp=share_link"",""ปัตตานี!N553"")+IMPORTRANGE(""https://docs.google.com/spreadsheets/d/1vl4QWbWdFruual5o_wdo6ZSqXZ_it806oja4CctTLKs/edit?usp=share_link"",""พังงา!N553"")+IMPORTRANGE(""https://docs.google.com/spreadsheets/d/1"&amp;"b6QssHQp2FoAPSMKHOy273KNzAomaIKhtdlvuZ_zDNE/edit?usp=share_link"",""พัทลุง!N553"")+IMPORTRANGE(""https://docs.google.com/spreadsheets/d/1o7UZe4_OqlqtLDHrj01Z2YFRSZDf1DMy1n3XViHaxRc/edit?usp=share_link"",""ภูเก็ต!N553"")+IMPORTRANGE(""https://docs.google.c"&amp;"om/spreadsheets/d/1ctPm1vUzcUCPuOj9-eoHUD85PqINFqUB0TjdSWmR5-c/edit?usp=share_link"",""ยะลา!N553"")+IMPORTRANGE(""https://docs.google.com/spreadsheets/d/1YiDIE7Klmt8osgdapRqYWNr7iPGFSsiJqq46S7PYRE0/edit?usp=share_link"",""ระนอง!N553"")+IMPORTRANGE(""https"&amp;"://docs.google.com/spreadsheets/d/16o_4B-V7AWw_6E93bSpXj_XxVv1oVQctk-B6z1dNEWU/edit?usp=share_link"",""สงขลา!N553"")+IMPORTRANGE(""https://docs.google.com/spreadsheets/d/16cywr71Fj4fA5OGRHsZh30ZG2gwJhMAQv69oVBzYHv0/edit?usp=share_link"",""สตูล!N553"")+IMP"&amp;"ORTRANGE(""https://docs.google.com/spreadsheets/d/1vO9Sws6kMtrVtyvrAJptINXjK8TFBoX9xLYOVK_C8bQ/edit?usp=share_link"",""สุราษฎร์ธานี!N553"")"),2170612.76)</f>
        <v>2170612.7599999998</v>
      </c>
      <c r="O553" s="38"/>
      <c r="P553" s="3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20.25" customHeight="1">
      <c r="A554" s="573"/>
      <c r="B554" s="574"/>
      <c r="C554" s="574"/>
      <c r="D554" s="574"/>
      <c r="E554" s="575"/>
      <c r="F554" s="576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IFERROR(__xludf.DUMMYFUNCTION("IMPORTRANGE(""https://docs.google.com/spreadsheets/d/1kC41EOXpGBFOW658Fs3oD8beYlym0-zO54WY-2Qnp9I/edit?usp=share_link"",""กระบี่!N554"")
+IMPORTRANGE(""https://docs.google.com/spreadsheets/d/1FbzMZY_f3MDiEuK7RpCQKrilJ_kpX0Wm7QBZ1L7EjIU/edit?usp=share_link"&amp;""",""ชุมพร!N554"")+IMPORTRANGE(""https://docs.google.com/spreadsheets/d/1v5sN-00LrXuhBxw4dkh2GrG_z4l5oAqOdJRBCsUyMaM/edit?usp=share_link"",""ตรัง!N554"")+IMPORTRANGE(""https://docs.google.com/spreadsheets/d/1T5rRTzFc79aSIvqnzkZNvwPstq829QYz_xALlO1Z0s8/edi"&amp;"t?usp=share_link"",""นครศรีธรรมราช!N554"")+IMPORTRANGE(""https://docs.google.com/spreadsheets/d/1BeghqumK0IvCmRd2QOy6_afsZq7ZtAGrSnVJy2u7WmY/edit?usp=share_link"",""นราธิวาส!N554"")+IMPORTRANGE(""https://docs.google.com/spreadsheets/d/1IwnW3-jjRf74MCLW-6P"&amp;"iFwMUffRQXZwZA7YM609NmRc/edit?usp=share_link"",""ปัตตานี!N554"")+IMPORTRANGE(""https://docs.google.com/spreadsheets/d/1vl4QWbWdFruual5o_wdo6ZSqXZ_it806oja4CctTLKs/edit?usp=share_link"",""พังงา!N554"")+IMPORTRANGE(""https://docs.google.com/spreadsheets/d/1"&amp;"b6QssHQp2FoAPSMKHOy273KNzAomaIKhtdlvuZ_zDNE/edit?usp=share_link"",""พัทลุง!N554"")+IMPORTRANGE(""https://docs.google.com/spreadsheets/d/1o7UZe4_OqlqtLDHrj01Z2YFRSZDf1DMy1n3XViHaxRc/edit?usp=share_link"",""ภูเก็ต!N554"")+IMPORTRANGE(""https://docs.google.c"&amp;"om/spreadsheets/d/1ctPm1vUzcUCPuOj9-eoHUD85PqINFqUB0TjdSWmR5-c/edit?usp=share_link"",""ยะลา!N554"")+IMPORTRANGE(""https://docs.google.com/spreadsheets/d/1YiDIE7Klmt8osgdapRqYWNr7iPGFSsiJqq46S7PYRE0/edit?usp=share_link"",""ระนอง!N554"")+IMPORTRANGE(""https"&amp;"://docs.google.com/spreadsheets/d/16o_4B-V7AWw_6E93bSpXj_XxVv1oVQctk-B6z1dNEWU/edit?usp=share_link"",""สงขลา!N554"")+IMPORTRANGE(""https://docs.google.com/spreadsheets/d/16cywr71Fj4fA5OGRHsZh30ZG2gwJhMAQv69oVBzYHv0/edit?usp=share_link"",""สตูล!N554"")+IMP"&amp;"ORTRANGE(""https://docs.google.com/spreadsheets/d/1vO9Sws6kMtrVtyvrAJptINXjK8TFBoX9xLYOVK_C8bQ/edit?usp=share_link"",""สุราษฎร์ธานี!N554"")"),978643)</f>
        <v>978643</v>
      </c>
      <c r="O554" s="38"/>
      <c r="P554" s="3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20.25" customHeight="1">
      <c r="A555" s="596"/>
      <c r="B555" s="574"/>
      <c r="C555" s="574"/>
      <c r="D555" s="605" t="s">
        <v>21</v>
      </c>
      <c r="E555" s="575"/>
      <c r="F555" s="575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20.25" hidden="1" customHeight="1">
      <c r="A556" s="598"/>
      <c r="B556" s="604"/>
      <c r="C556" s="604"/>
      <c r="D556" s="599"/>
      <c r="E556" s="601" t="s">
        <v>18</v>
      </c>
      <c r="F556" s="599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20.25" hidden="1" customHeight="1">
      <c r="A557" s="598"/>
      <c r="B557" s="604"/>
      <c r="C557" s="604"/>
      <c r="D557" s="599"/>
      <c r="E557" s="601" t="s">
        <v>19</v>
      </c>
      <c r="F557" s="599"/>
      <c r="G557" s="602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IFERROR(__xludf.DUMMYFUNCTION("IMPORTRANGE(""https://docs.google.com/spreadsheets/d/1kC41EOXpGBFOW658Fs3oD8beYlym0-zO54WY-2Qnp9I/edit?usp=share_link"",""กระบี่!L557"")
+IMPORTRANGE(""https://docs.google.com/spreadsheets/d/1FbzMZY_f3MDiEuK7RpCQKrilJ_kpX0Wm7QBZ1L7EjIU/edit?usp=share_link"&amp;""",""ชุมพร!L557"")+IMPORTRANGE(""https://docs.google.com/spreadsheets/d/1v5sN-00LrXuhBxw4dkh2GrG_z4l5oAqOdJRBCsUyMaM/edit?usp=share_link"",""ตรัง!L557"")+IMPORTRANGE(""https://docs.google.com/spreadsheets/d/1T5rRTzFc79aSIvqnzkZNvwPstq829QYz_xALlO1Z0s8/edi"&amp;"t?usp=share_link"",""นครศรีธรรมราช!L557"")+IMPORTRANGE(""https://docs.google.com/spreadsheets/d/1BeghqumK0IvCmRd2QOy6_afsZq7ZtAGrSnVJy2u7WmY/edit?usp=share_link"",""นราธิวาส!L557"")+IMPORTRANGE(""https://docs.google.com/spreadsheets/d/1IwnW3-jjRf74MCLW-6P"&amp;"iFwMUffRQXZwZA7YM609NmRc/edit?usp=share_link"",""ปัตตานี!L557"")+IMPORTRANGE(""https://docs.google.com/spreadsheets/d/1vl4QWbWdFruual5o_wdo6ZSqXZ_it806oja4CctTLKs/edit?usp=share_link"",""พังงา!L557"")+IMPORTRANGE(""https://docs.google.com/spreadsheets/d/1"&amp;"b6QssHQp2FoAPSMKHOy273KNzAomaIKhtdlvuZ_zDNE/edit?usp=share_link"",""พัทลุง!L557"")+IMPORTRANGE(""https://docs.google.com/spreadsheets/d/1o7UZe4_OqlqtLDHrj01Z2YFRSZDf1DMy1n3XViHaxRc/edit?usp=share_link"",""ภูเก็ต!L557"")+IMPORTRANGE(""https://docs.google.c"&amp;"om/spreadsheets/d/1ctPm1vUzcUCPuOj9-eoHUD85PqINFqUB0TjdSWmR5-c/edit?usp=share_link"",""ยะลา!L557"")+IMPORTRANGE(""https://docs.google.com/spreadsheets/d/1YiDIE7Klmt8osgdapRqYWNr7iPGFSsiJqq46S7PYRE0/edit?usp=share_link"",""ระนอง!L557"")+IMPORTRANGE(""https"&amp;"://docs.google.com/spreadsheets/d/16o_4B-V7AWw_6E93bSpXj_XxVv1oVQctk-B6z1dNEWU/edit?usp=share_link"",""สงขลา!L557"")+IMPORTRANGE(""https://docs.google.com/spreadsheets/d/16cywr71Fj4fA5OGRHsZh30ZG2gwJhMAQv69oVBzYHv0/edit?usp=share_link"",""สตูล!L557"")+IMP"&amp;"ORTRANGE(""https://docs.google.com/spreadsheets/d/1vO9Sws6kMtrVtyvrAJptINXjK8TFBoX9xLYOVK_C8bQ/edit?usp=share_link"",""สุราษฎร์ธานี!L557"")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20.25" customHeight="1">
      <c r="A558" s="607"/>
      <c r="B558" s="608"/>
      <c r="C558" s="574" t="s">
        <v>16</v>
      </c>
      <c r="D558" s="678" t="s">
        <v>38</v>
      </c>
      <c r="E558" s="611"/>
      <c r="F558" s="611"/>
      <c r="G558" s="612"/>
      <c r="H558" s="175"/>
      <c r="I558" s="162"/>
      <c r="J558" s="162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20.25" customHeight="1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675">
        <f t="shared" ref="I559:J559" ca="1" si="281">I576</f>
        <v>380540</v>
      </c>
      <c r="J559" s="675">
        <f t="shared" ca="1" si="281"/>
        <v>361645.17499999999</v>
      </c>
      <c r="K559" s="676">
        <f t="shared" ref="K559:K561" ca="1" si="282">IF(I559&gt;0,J559*100/I559,0)</f>
        <v>95.034733536553318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20.25" customHeight="1">
      <c r="A560" s="607"/>
      <c r="B560" s="608"/>
      <c r="C560" s="621" t="s">
        <v>236</v>
      </c>
      <c r="D560" s="608"/>
      <c r="E560" s="618"/>
      <c r="F560" s="618"/>
      <c r="G560" s="175"/>
      <c r="H560" s="192" t="s">
        <v>46</v>
      </c>
      <c r="I560" s="193">
        <f ca="1">IFERROR(__xludf.DUMMYFUNCTION("IMPORTRANGE(""https://docs.google.com/spreadsheets/d/1kC41EOXpGBFOW658Fs3oD8beYlym0-zO54WY-2Qnp9I/edit?usp=share_link"",""กระบี่!I560"")
+IMPORTRANGE(""https://docs.google.com/spreadsheets/d/1FbzMZY_f3MDiEuK7RpCQKrilJ_kpX0Wm7QBZ1L7EjIU/edit?usp=share_link"&amp;""",""ชุมพร!I560"")+IMPORTRANGE(""https://docs.google.com/spreadsheets/d/1v5sN-00LrXuhBxw4dkh2GrG_z4l5oAqOdJRBCsUyMaM/edit?usp=share_link"",""ตรัง!I560"")+IMPORTRANGE(""https://docs.google.com/spreadsheets/d/1T5rRTzFc79aSIvqnzkZNvwPstq829QYz_xALlO1Z0s8/edi"&amp;"t?usp=share_link"",""นครศรีธรรมราช!I560"")+IMPORTRANGE(""https://docs.google.com/spreadsheets/d/1BeghqumK0IvCmRd2QOy6_afsZq7ZtAGrSnVJy2u7WmY/edit?usp=share_link"",""นราธิวาส!I560"")+IMPORTRANGE(""https://docs.google.com/spreadsheets/d/1IwnW3-jjRf74MCLW-6P"&amp;"iFwMUffRQXZwZA7YM609NmRc/edit?usp=share_link"",""ปัตตานี!I560"")+IMPORTRANGE(""https://docs.google.com/spreadsheets/d/1vl4QWbWdFruual5o_wdo6ZSqXZ_it806oja4CctTLKs/edit?usp=share_link"",""พังงา!I560"")+IMPORTRANGE(""https://docs.google.com/spreadsheets/d/1"&amp;"b6QssHQp2FoAPSMKHOy273KNzAomaIKhtdlvuZ_zDNE/edit?usp=share_link"",""พัทลุง!I560"")+IMPORTRANGE(""https://docs.google.com/spreadsheets/d/1o7UZe4_OqlqtLDHrj01Z2YFRSZDf1DMy1n3XViHaxRc/edit?usp=share_link"",""ภูเก็ต!I560"")+IMPORTRANGE(""https://docs.google.c"&amp;"om/spreadsheets/d/1ctPm1vUzcUCPuOj9-eoHUD85PqINFqUB0TjdSWmR5-c/edit?usp=share_link"",""ยะลา!I560"")+IMPORTRANGE(""https://docs.google.com/spreadsheets/d/1YiDIE7Klmt8osgdapRqYWNr7iPGFSsiJqq46S7PYRE0/edit?usp=share_link"",""ระนอง!I560"")+IMPORTRANGE(""https"&amp;"://docs.google.com/spreadsheets/d/16o_4B-V7AWw_6E93bSpXj_XxVv1oVQctk-B6z1dNEWU/edit?usp=share_link"",""สงขลา!I560"")+IMPORTRANGE(""https://docs.google.com/spreadsheets/d/16cywr71Fj4fA5OGRHsZh30ZG2gwJhMAQv69oVBzYHv0/edit?usp=share_link"",""สตูล!I560"")+IMP"&amp;"ORTRANGE(""https://docs.google.com/spreadsheets/d/1vO9Sws6kMtrVtyvrAJptINXjK8TFBoX9xLYOVK_C8bQ/edit?usp=share_link"",""สุราษฎร์ธานี!I560"")"),380540)</f>
        <v>380540</v>
      </c>
      <c r="J560" s="193">
        <f t="shared" ref="J560:J561" ca="1" si="283">J562+J564+J566</f>
        <v>379548.70949999994</v>
      </c>
      <c r="K560" s="412">
        <f t="shared" ca="1" si="282"/>
        <v>99.739504257108308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20.25" customHeight="1">
      <c r="A561" s="607"/>
      <c r="B561" s="608"/>
      <c r="C561" s="608"/>
      <c r="D561" s="618"/>
      <c r="E561" s="618"/>
      <c r="F561" s="618"/>
      <c r="G561" s="175"/>
      <c r="H561" s="192" t="s">
        <v>34</v>
      </c>
      <c r="I561" s="193">
        <f ca="1">IFERROR(__xludf.DUMMYFUNCTION("IMPORTRANGE(""https://docs.google.com/spreadsheets/d/1kC41EOXpGBFOW658Fs3oD8beYlym0-zO54WY-2Qnp9I/edit?usp=share_link"",""กระบี่!I561"")
+IMPORTRANGE(""https://docs.google.com/spreadsheets/d/1FbzMZY_f3MDiEuK7RpCQKrilJ_kpX0Wm7QBZ1L7EjIU/edit?usp=share_link"&amp;""",""ชุมพร!I561"")+IMPORTRANGE(""https://docs.google.com/spreadsheets/d/1v5sN-00LrXuhBxw4dkh2GrG_z4l5oAqOdJRBCsUyMaM/edit?usp=share_link"",""ตรัง!I561"")+IMPORTRANGE(""https://docs.google.com/spreadsheets/d/1T5rRTzFc79aSIvqnzkZNvwPstq829QYz_xALlO1Z0s8/edi"&amp;"t?usp=share_link"",""นครศรีธรรมราช!I561"")+IMPORTRANGE(""https://docs.google.com/spreadsheets/d/1BeghqumK0IvCmRd2QOy6_afsZq7ZtAGrSnVJy2u7WmY/edit?usp=share_link"",""นราธิวาส!I561"")+IMPORTRANGE(""https://docs.google.com/spreadsheets/d/1IwnW3-jjRf74MCLW-6P"&amp;"iFwMUffRQXZwZA7YM609NmRc/edit?usp=share_link"",""ปัตตานี!I561"")+IMPORTRANGE(""https://docs.google.com/spreadsheets/d/1vl4QWbWdFruual5o_wdo6ZSqXZ_it806oja4CctTLKs/edit?usp=share_link"",""พังงา!I561"")+IMPORTRANGE(""https://docs.google.com/spreadsheets/d/1"&amp;"b6QssHQp2FoAPSMKHOy273KNzAomaIKhtdlvuZ_zDNE/edit?usp=share_link"",""พัทลุง!I561"")+IMPORTRANGE(""https://docs.google.com/spreadsheets/d/1o7UZe4_OqlqtLDHrj01Z2YFRSZDf1DMy1n3XViHaxRc/edit?usp=share_link"",""ภูเก็ต!I561"")+IMPORTRANGE(""https://docs.google.c"&amp;"om/spreadsheets/d/1ctPm1vUzcUCPuOj9-eoHUD85PqINFqUB0TjdSWmR5-c/edit?usp=share_link"",""ยะลา!I561"")+IMPORTRANGE(""https://docs.google.com/spreadsheets/d/1YiDIE7Klmt8osgdapRqYWNr7iPGFSsiJqq46S7PYRE0/edit?usp=share_link"",""ระนอง!I561"")+IMPORTRANGE(""https"&amp;"://docs.google.com/spreadsheets/d/16o_4B-V7AWw_6E93bSpXj_XxVv1oVQctk-B6z1dNEWU/edit?usp=share_link"",""สงขลา!I561"")+IMPORTRANGE(""https://docs.google.com/spreadsheets/d/16cywr71Fj4fA5OGRHsZh30ZG2gwJhMAQv69oVBzYHv0/edit?usp=share_link"",""สตูล!I561"")+IMP"&amp;"ORTRANGE(""https://docs.google.com/spreadsheets/d/1vO9Sws6kMtrVtyvrAJptINXjK8TFBoX9xLYOVK_C8bQ/edit?usp=share_link"",""สุราษฎร์ธานี!I561"")"),42774)</f>
        <v>42774</v>
      </c>
      <c r="J561" s="193">
        <f t="shared" ca="1" si="283"/>
        <v>42639</v>
      </c>
      <c r="K561" s="412">
        <f t="shared" ca="1" si="282"/>
        <v>99.684387712161595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20.25" customHeight="1">
      <c r="A562" s="607"/>
      <c r="B562" s="608"/>
      <c r="C562" s="608"/>
      <c r="D562" s="187" t="s">
        <v>237</v>
      </c>
      <c r="E562" s="618"/>
      <c r="F562" s="618"/>
      <c r="G562" s="175"/>
      <c r="H562" s="182" t="s">
        <v>46</v>
      </c>
      <c r="I562" s="162"/>
      <c r="J562" s="183">
        <f ca="1">IFERROR(__xludf.DUMMYFUNCTION("IMPORTRANGE(""https://docs.google.com/spreadsheets/d/1kC41EOXpGBFOW658Fs3oD8beYlym0-zO54WY-2Qnp9I/edit?usp=share_link"",""กระบี่!J562"")
+IMPORTRANGE(""https://docs.google.com/spreadsheets/d/1FbzMZY_f3MDiEuK7RpCQKrilJ_kpX0Wm7QBZ1L7EjIU/edit?usp=share_link"&amp;""",""ชุมพร!J562"")+IMPORTRANGE(""https://docs.google.com/spreadsheets/d/1v5sN-00LrXuhBxw4dkh2GrG_z4l5oAqOdJRBCsUyMaM/edit?usp=share_link"",""ตรัง!J562"")+IMPORTRANGE(""https://docs.google.com/spreadsheets/d/1T5rRTzFc79aSIvqnzkZNvwPstq829QYz_xALlO1Z0s8/edi"&amp;"t?usp=share_link"",""นครศรีธรรมราช!J562"")+IMPORTRANGE(""https://docs.google.com/spreadsheets/d/1BeghqumK0IvCmRd2QOy6_afsZq7ZtAGrSnVJy2u7WmY/edit?usp=share_link"",""นราธิวาส!J562"")+IMPORTRANGE(""https://docs.google.com/spreadsheets/d/1IwnW3-jjRf74MCLW-6P"&amp;"iFwMUffRQXZwZA7YM609NmRc/edit?usp=share_link"",""ปัตตานี!J562"")+IMPORTRANGE(""https://docs.google.com/spreadsheets/d/1vl4QWbWdFruual5o_wdo6ZSqXZ_it806oja4CctTLKs/edit?usp=share_link"",""พังงา!J562"")+IMPORTRANGE(""https://docs.google.com/spreadsheets/d/1"&amp;"b6QssHQp2FoAPSMKHOy273KNzAomaIKhtdlvuZ_zDNE/edit?usp=share_link"",""พัทลุง!J562"")+IMPORTRANGE(""https://docs.google.com/spreadsheets/d/1o7UZe4_OqlqtLDHrj01Z2YFRSZDf1DMy1n3XViHaxRc/edit?usp=share_link"",""ภูเก็ต!J562"")+IMPORTRANGE(""https://docs.google.c"&amp;"om/spreadsheets/d/1ctPm1vUzcUCPuOj9-eoHUD85PqINFqUB0TjdSWmR5-c/edit?usp=share_link"",""ยะลา!J562"")+IMPORTRANGE(""https://docs.google.com/spreadsheets/d/1YiDIE7Klmt8osgdapRqYWNr7iPGFSsiJqq46S7PYRE0/edit?usp=share_link"",""ระนอง!J562"")+IMPORTRANGE(""https"&amp;"://docs.google.com/spreadsheets/d/16o_4B-V7AWw_6E93bSpXj_XxVv1oVQctk-B6z1dNEWU/edit?usp=share_link"",""สงขลา!J562"")+IMPORTRANGE(""https://docs.google.com/spreadsheets/d/16cywr71Fj4fA5OGRHsZh30ZG2gwJhMAQv69oVBzYHv0/edit?usp=share_link"",""สตูล!J562"")+IMP"&amp;"ORTRANGE(""https://docs.google.com/spreadsheets/d/1vO9Sws6kMtrVtyvrAJptINXjK8TFBoX9xLYOVK_C8bQ/edit?usp=share_link"",""สุราษฎร์ธานี!J562"")"),336171.934)</f>
        <v>336171.93400000001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20.25" customHeight="1">
      <c r="A563" s="607"/>
      <c r="B563" s="608"/>
      <c r="C563" s="608"/>
      <c r="D563" s="608"/>
      <c r="E563" s="618"/>
      <c r="F563" s="618"/>
      <c r="G563" s="175"/>
      <c r="H563" s="182" t="s">
        <v>34</v>
      </c>
      <c r="I563" s="162"/>
      <c r="J563" s="183">
        <f ca="1">IFERROR(__xludf.DUMMYFUNCTION("IMPORTRANGE(""https://docs.google.com/spreadsheets/d/1kC41EOXpGBFOW658Fs3oD8beYlym0-zO54WY-2Qnp9I/edit?usp=share_link"",""กระบี่!J563"")
+IMPORTRANGE(""https://docs.google.com/spreadsheets/d/1FbzMZY_f3MDiEuK7RpCQKrilJ_kpX0Wm7QBZ1L7EjIU/edit?usp=share_link"&amp;""",""ชุมพร!J563"")+IMPORTRANGE(""https://docs.google.com/spreadsheets/d/1v5sN-00LrXuhBxw4dkh2GrG_z4l5oAqOdJRBCsUyMaM/edit?usp=share_link"",""ตรัง!J563"")+IMPORTRANGE(""https://docs.google.com/spreadsheets/d/1T5rRTzFc79aSIvqnzkZNvwPstq829QYz_xALlO1Z0s8/edi"&amp;"t?usp=share_link"",""นครศรีธรรมราช!J563"")+IMPORTRANGE(""https://docs.google.com/spreadsheets/d/1BeghqumK0IvCmRd2QOy6_afsZq7ZtAGrSnVJy2u7WmY/edit?usp=share_link"",""นราธิวาส!J563"")+IMPORTRANGE(""https://docs.google.com/spreadsheets/d/1IwnW3-jjRf74MCLW-6P"&amp;"iFwMUffRQXZwZA7YM609NmRc/edit?usp=share_link"",""ปัตตานี!J563"")+IMPORTRANGE(""https://docs.google.com/spreadsheets/d/1vl4QWbWdFruual5o_wdo6ZSqXZ_it806oja4CctTLKs/edit?usp=share_link"",""พังงา!J563"")+IMPORTRANGE(""https://docs.google.com/spreadsheets/d/1"&amp;"b6QssHQp2FoAPSMKHOy273KNzAomaIKhtdlvuZ_zDNE/edit?usp=share_link"",""พัทลุง!J563"")+IMPORTRANGE(""https://docs.google.com/spreadsheets/d/1o7UZe4_OqlqtLDHrj01Z2YFRSZDf1DMy1n3XViHaxRc/edit?usp=share_link"",""ภูเก็ต!J563"")+IMPORTRANGE(""https://docs.google.c"&amp;"om/spreadsheets/d/1ctPm1vUzcUCPuOj9-eoHUD85PqINFqUB0TjdSWmR5-c/edit?usp=share_link"",""ยะลา!J563"")+IMPORTRANGE(""https://docs.google.com/spreadsheets/d/1YiDIE7Klmt8osgdapRqYWNr7iPGFSsiJqq46S7PYRE0/edit?usp=share_link"",""ระนอง!J563"")+IMPORTRANGE(""https"&amp;"://docs.google.com/spreadsheets/d/16o_4B-V7AWw_6E93bSpXj_XxVv1oVQctk-B6z1dNEWU/edit?usp=share_link"",""สงขลา!J563"")+IMPORTRANGE(""https://docs.google.com/spreadsheets/d/16cywr71Fj4fA5OGRHsZh30ZG2gwJhMAQv69oVBzYHv0/edit?usp=share_link"",""สตูล!J563"")+IMP"&amp;"ORTRANGE(""https://docs.google.com/spreadsheets/d/1vO9Sws6kMtrVtyvrAJptINXjK8TFBoX9xLYOVK_C8bQ/edit?usp=share_link"",""สุราษฎร์ธานี!J563"")"),37977)</f>
        <v>37977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20.25" customHeight="1">
      <c r="A564" s="607"/>
      <c r="B564" s="608"/>
      <c r="C564" s="608"/>
      <c r="D564" s="187" t="s">
        <v>238</v>
      </c>
      <c r="E564" s="618"/>
      <c r="F564" s="618"/>
      <c r="G564" s="175"/>
      <c r="H564" s="182" t="s">
        <v>46</v>
      </c>
      <c r="I564" s="162"/>
      <c r="J564" s="183">
        <f ca="1">IFERROR(__xludf.DUMMYFUNCTION("IMPORTRANGE(""https://docs.google.com/spreadsheets/d/1kC41EOXpGBFOW658Fs3oD8beYlym0-zO54WY-2Qnp9I/edit?usp=share_link"",""กระบี่!J564"")
+IMPORTRANGE(""https://docs.google.com/spreadsheets/d/1FbzMZY_f3MDiEuK7RpCQKrilJ_kpX0Wm7QBZ1L7EjIU/edit?usp=share_link"&amp;""",""ชุมพร!J564"")+IMPORTRANGE(""https://docs.google.com/spreadsheets/d/1v5sN-00LrXuhBxw4dkh2GrG_z4l5oAqOdJRBCsUyMaM/edit?usp=share_link"",""ตรัง!J564"")+IMPORTRANGE(""https://docs.google.com/spreadsheets/d/1T5rRTzFc79aSIvqnzkZNvwPstq829QYz_xALlO1Z0s8/edi"&amp;"t?usp=share_link"",""นครศรีธรรมราช!J564"")+IMPORTRANGE(""https://docs.google.com/spreadsheets/d/1BeghqumK0IvCmRd2QOy6_afsZq7ZtAGrSnVJy2u7WmY/edit?usp=share_link"",""นราธิวาส!J564"")+IMPORTRANGE(""https://docs.google.com/spreadsheets/d/1IwnW3-jjRf74MCLW-6P"&amp;"iFwMUffRQXZwZA7YM609NmRc/edit?usp=share_link"",""ปัตตานี!J564"")+IMPORTRANGE(""https://docs.google.com/spreadsheets/d/1vl4QWbWdFruual5o_wdo6ZSqXZ_it806oja4CctTLKs/edit?usp=share_link"",""พังงา!J564"")+IMPORTRANGE(""https://docs.google.com/spreadsheets/d/1"&amp;"b6QssHQp2FoAPSMKHOy273KNzAomaIKhtdlvuZ_zDNE/edit?usp=share_link"",""พัทลุง!J564"")+IMPORTRANGE(""https://docs.google.com/spreadsheets/d/1o7UZe4_OqlqtLDHrj01Z2YFRSZDf1DMy1n3XViHaxRc/edit?usp=share_link"",""ภูเก็ต!J564"")+IMPORTRANGE(""https://docs.google.c"&amp;"om/spreadsheets/d/1ctPm1vUzcUCPuOj9-eoHUD85PqINFqUB0TjdSWmR5-c/edit?usp=share_link"",""ยะลา!J564"")+IMPORTRANGE(""https://docs.google.com/spreadsheets/d/1YiDIE7Klmt8osgdapRqYWNr7iPGFSsiJqq46S7PYRE0/edit?usp=share_link"",""ระนอง!J564"")+IMPORTRANGE(""https"&amp;"://docs.google.com/spreadsheets/d/16o_4B-V7AWw_6E93bSpXj_XxVv1oVQctk-B6z1dNEWU/edit?usp=share_link"",""สงขลา!J564"")+IMPORTRANGE(""https://docs.google.com/spreadsheets/d/16cywr71Fj4fA5OGRHsZh30ZG2gwJhMAQv69oVBzYHv0/edit?usp=share_link"",""สตูล!J564"")+IMP"&amp;"ORTRANGE(""https://docs.google.com/spreadsheets/d/1vO9Sws6kMtrVtyvrAJptINXjK8TFBoX9xLYOVK_C8bQ/edit?usp=share_link"",""สุราษฎร์ธานี!J564"")"),35466.9379999999)</f>
        <v>35466.9379999999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20.25" customHeight="1">
      <c r="A565" s="607"/>
      <c r="B565" s="608"/>
      <c r="C565" s="608"/>
      <c r="D565" s="618"/>
      <c r="E565" s="618"/>
      <c r="F565" s="618"/>
      <c r="G565" s="175"/>
      <c r="H565" s="182" t="s">
        <v>34</v>
      </c>
      <c r="I565" s="162"/>
      <c r="J565" s="183">
        <f ca="1">IFERROR(__xludf.DUMMYFUNCTION("IMPORTRANGE(""https://docs.google.com/spreadsheets/d/1kC41EOXpGBFOW658Fs3oD8beYlym0-zO54WY-2Qnp9I/edit?usp=share_link"",""กระบี่!J565"")
+IMPORTRANGE(""https://docs.google.com/spreadsheets/d/1FbzMZY_f3MDiEuK7RpCQKrilJ_kpX0Wm7QBZ1L7EjIU/edit?usp=share_link"&amp;""",""ชุมพร!J565"")+IMPORTRANGE(""https://docs.google.com/spreadsheets/d/1v5sN-00LrXuhBxw4dkh2GrG_z4l5oAqOdJRBCsUyMaM/edit?usp=share_link"",""ตรัง!J565"")+IMPORTRANGE(""https://docs.google.com/spreadsheets/d/1T5rRTzFc79aSIvqnzkZNvwPstq829QYz_xALlO1Z0s8/edi"&amp;"t?usp=share_link"",""นครศรีธรรมราช!J565"")+IMPORTRANGE(""https://docs.google.com/spreadsheets/d/1BeghqumK0IvCmRd2QOy6_afsZq7ZtAGrSnVJy2u7WmY/edit?usp=share_link"",""นราธิวาส!J565"")+IMPORTRANGE(""https://docs.google.com/spreadsheets/d/1IwnW3-jjRf74MCLW-6P"&amp;"iFwMUffRQXZwZA7YM609NmRc/edit?usp=share_link"",""ปัตตานี!J565"")+IMPORTRANGE(""https://docs.google.com/spreadsheets/d/1vl4QWbWdFruual5o_wdo6ZSqXZ_it806oja4CctTLKs/edit?usp=share_link"",""พังงา!J565"")+IMPORTRANGE(""https://docs.google.com/spreadsheets/d/1"&amp;"b6QssHQp2FoAPSMKHOy273KNzAomaIKhtdlvuZ_zDNE/edit?usp=share_link"",""พัทลุง!J565"")+IMPORTRANGE(""https://docs.google.com/spreadsheets/d/1o7UZe4_OqlqtLDHrj01Z2YFRSZDf1DMy1n3XViHaxRc/edit?usp=share_link"",""ภูเก็ต!J565"")+IMPORTRANGE(""https://docs.google.c"&amp;"om/spreadsheets/d/1ctPm1vUzcUCPuOj9-eoHUD85PqINFqUB0TjdSWmR5-c/edit?usp=share_link"",""ยะลา!J565"")+IMPORTRANGE(""https://docs.google.com/spreadsheets/d/1YiDIE7Klmt8osgdapRqYWNr7iPGFSsiJqq46S7PYRE0/edit?usp=share_link"",""ระนอง!J565"")+IMPORTRANGE(""https"&amp;"://docs.google.com/spreadsheets/d/16o_4B-V7AWw_6E93bSpXj_XxVv1oVQctk-B6z1dNEWU/edit?usp=share_link"",""สงขลา!J565"")+IMPORTRANGE(""https://docs.google.com/spreadsheets/d/16cywr71Fj4fA5OGRHsZh30ZG2gwJhMAQv69oVBzYHv0/edit?usp=share_link"",""สตูล!J565"")+IMP"&amp;"ORTRANGE(""https://docs.google.com/spreadsheets/d/1vO9Sws6kMtrVtyvrAJptINXjK8TFBoX9xLYOVK_C8bQ/edit?usp=share_link"",""สุราษฎร์ธานี!J565"")"),3712)</f>
        <v>3712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20.25" customHeight="1">
      <c r="A566" s="607"/>
      <c r="B566" s="608"/>
      <c r="C566" s="608"/>
      <c r="D566" s="187" t="s">
        <v>239</v>
      </c>
      <c r="E566" s="618"/>
      <c r="F566" s="618"/>
      <c r="G566" s="175"/>
      <c r="H566" s="182" t="s">
        <v>46</v>
      </c>
      <c r="I566" s="162"/>
      <c r="J566" s="183">
        <f ca="1">IFERROR(__xludf.DUMMYFUNCTION("IMPORTRANGE(""https://docs.google.com/spreadsheets/d/1kC41EOXpGBFOW658Fs3oD8beYlym0-zO54WY-2Qnp9I/edit?usp=share_link"",""กระบี่!J566"")
+IMPORTRANGE(""https://docs.google.com/spreadsheets/d/1FbzMZY_f3MDiEuK7RpCQKrilJ_kpX0Wm7QBZ1L7EjIU/edit?usp=share_link"&amp;""",""ชุมพร!J566"")+IMPORTRANGE(""https://docs.google.com/spreadsheets/d/1v5sN-00LrXuhBxw4dkh2GrG_z4l5oAqOdJRBCsUyMaM/edit?usp=share_link"",""ตรัง!J566"")+IMPORTRANGE(""https://docs.google.com/spreadsheets/d/1T5rRTzFc79aSIvqnzkZNvwPstq829QYz_xALlO1Z0s8/edi"&amp;"t?usp=share_link"",""นครศรีธรรมราช!J566"")+IMPORTRANGE(""https://docs.google.com/spreadsheets/d/1BeghqumK0IvCmRd2QOy6_afsZq7ZtAGrSnVJy2u7WmY/edit?usp=share_link"",""นราธิวาส!J566"")+IMPORTRANGE(""https://docs.google.com/spreadsheets/d/1IwnW3-jjRf74MCLW-6P"&amp;"iFwMUffRQXZwZA7YM609NmRc/edit?usp=share_link"",""ปัตตานี!J566"")+IMPORTRANGE(""https://docs.google.com/spreadsheets/d/1vl4QWbWdFruual5o_wdo6ZSqXZ_it806oja4CctTLKs/edit?usp=share_link"",""พังงา!J566"")+IMPORTRANGE(""https://docs.google.com/spreadsheets/d/1"&amp;"b6QssHQp2FoAPSMKHOy273KNzAomaIKhtdlvuZ_zDNE/edit?usp=share_link"",""พัทลุง!J566"")+IMPORTRANGE(""https://docs.google.com/spreadsheets/d/1o7UZe4_OqlqtLDHrj01Z2YFRSZDf1DMy1n3XViHaxRc/edit?usp=share_link"",""ภูเก็ต!J566"")+IMPORTRANGE(""https://docs.google.c"&amp;"om/spreadsheets/d/1ctPm1vUzcUCPuOj9-eoHUD85PqINFqUB0TjdSWmR5-c/edit?usp=share_link"",""ยะลา!J566"")+IMPORTRANGE(""https://docs.google.com/spreadsheets/d/1YiDIE7Klmt8osgdapRqYWNr7iPGFSsiJqq46S7PYRE0/edit?usp=share_link"",""ระนอง!J566"")+IMPORTRANGE(""https"&amp;"://docs.google.com/spreadsheets/d/16o_4B-V7AWw_6E93bSpXj_XxVv1oVQctk-B6z1dNEWU/edit?usp=share_link"",""สงขลา!J566"")+IMPORTRANGE(""https://docs.google.com/spreadsheets/d/16cywr71Fj4fA5OGRHsZh30ZG2gwJhMAQv69oVBzYHv0/edit?usp=share_link"",""สตูล!J566"")+IMP"&amp;"ORTRANGE(""https://docs.google.com/spreadsheets/d/1vO9Sws6kMtrVtyvrAJptINXjK8TFBoX9xLYOVK_C8bQ/edit?usp=share_link"",""สุราษฎร์ธานี!J566"")"),7909.8375)</f>
        <v>7909.8374999999996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20.25" customHeight="1">
      <c r="A567" s="607"/>
      <c r="B567" s="608"/>
      <c r="C567" s="608"/>
      <c r="D567" s="618"/>
      <c r="E567" s="618"/>
      <c r="F567" s="618"/>
      <c r="G567" s="175"/>
      <c r="H567" s="182" t="s">
        <v>34</v>
      </c>
      <c r="I567" s="162"/>
      <c r="J567" s="183">
        <f ca="1">IFERROR(__xludf.DUMMYFUNCTION("IMPORTRANGE(""https://docs.google.com/spreadsheets/d/1kC41EOXpGBFOW658Fs3oD8beYlym0-zO54WY-2Qnp9I/edit?usp=share_link"",""กระบี่!J567"")
+IMPORTRANGE(""https://docs.google.com/spreadsheets/d/1FbzMZY_f3MDiEuK7RpCQKrilJ_kpX0Wm7QBZ1L7EjIU/edit?usp=share_link"&amp;""",""ชุมพร!J567"")+IMPORTRANGE(""https://docs.google.com/spreadsheets/d/1v5sN-00LrXuhBxw4dkh2GrG_z4l5oAqOdJRBCsUyMaM/edit?usp=share_link"",""ตรัง!J567"")+IMPORTRANGE(""https://docs.google.com/spreadsheets/d/1T5rRTzFc79aSIvqnzkZNvwPstq829QYz_xALlO1Z0s8/edi"&amp;"t?usp=share_link"",""นครศรีธรรมราช!J567"")+IMPORTRANGE(""https://docs.google.com/spreadsheets/d/1BeghqumK0IvCmRd2QOy6_afsZq7ZtAGrSnVJy2u7WmY/edit?usp=share_link"",""นราธิวาส!J567"")+IMPORTRANGE(""https://docs.google.com/spreadsheets/d/1IwnW3-jjRf74MCLW-6P"&amp;"iFwMUffRQXZwZA7YM609NmRc/edit?usp=share_link"",""ปัตตานี!J567"")+IMPORTRANGE(""https://docs.google.com/spreadsheets/d/1vl4QWbWdFruual5o_wdo6ZSqXZ_it806oja4CctTLKs/edit?usp=share_link"",""พังงา!J567"")+IMPORTRANGE(""https://docs.google.com/spreadsheets/d/1"&amp;"b6QssHQp2FoAPSMKHOy273KNzAomaIKhtdlvuZ_zDNE/edit?usp=share_link"",""พัทลุง!J567"")+IMPORTRANGE(""https://docs.google.com/spreadsheets/d/1o7UZe4_OqlqtLDHrj01Z2YFRSZDf1DMy1n3XViHaxRc/edit?usp=share_link"",""ภูเก็ต!J567"")+IMPORTRANGE(""https://docs.google.c"&amp;"om/spreadsheets/d/1ctPm1vUzcUCPuOj9-eoHUD85PqINFqUB0TjdSWmR5-c/edit?usp=share_link"",""ยะลา!J567"")+IMPORTRANGE(""https://docs.google.com/spreadsheets/d/1YiDIE7Klmt8osgdapRqYWNr7iPGFSsiJqq46S7PYRE0/edit?usp=share_link"",""ระนอง!J567"")+IMPORTRANGE(""https"&amp;"://docs.google.com/spreadsheets/d/16o_4B-V7AWw_6E93bSpXj_XxVv1oVQctk-B6z1dNEWU/edit?usp=share_link"",""สงขลา!J567"")+IMPORTRANGE(""https://docs.google.com/spreadsheets/d/16cywr71Fj4fA5OGRHsZh30ZG2gwJhMAQv69oVBzYHv0/edit?usp=share_link"",""สตูล!J567"")+IMP"&amp;"ORTRANGE(""https://docs.google.com/spreadsheets/d/1vO9Sws6kMtrVtyvrAJptINXjK8TFBoX9xLYOVK_C8bQ/edit?usp=share_link"",""สุราษฎร์ธานี!J567"")"),950)</f>
        <v>950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20.25" customHeight="1">
      <c r="A568" s="607"/>
      <c r="B568" s="608"/>
      <c r="C568" s="621" t="s">
        <v>240</v>
      </c>
      <c r="D568" s="618"/>
      <c r="E568" s="618"/>
      <c r="F568" s="618"/>
      <c r="G568" s="175"/>
      <c r="H568" s="192" t="s">
        <v>46</v>
      </c>
      <c r="I568" s="193">
        <f ca="1">IFERROR(__xludf.DUMMYFUNCTION("IMPORTRANGE(""https://docs.google.com/spreadsheets/d/1kC41EOXpGBFOW658Fs3oD8beYlym0-zO54WY-2Qnp9I/edit?usp=share_link"",""กระบี่!I568"")
+IMPORTRANGE(""https://docs.google.com/spreadsheets/d/1FbzMZY_f3MDiEuK7RpCQKrilJ_kpX0Wm7QBZ1L7EjIU/edit?usp=share_link"&amp;""",""ชุมพร!I568"")+IMPORTRANGE(""https://docs.google.com/spreadsheets/d/1v5sN-00LrXuhBxw4dkh2GrG_z4l5oAqOdJRBCsUyMaM/edit?usp=share_link"",""ตรัง!I568"")+IMPORTRANGE(""https://docs.google.com/spreadsheets/d/1T5rRTzFc79aSIvqnzkZNvwPstq829QYz_xALlO1Z0s8/edi"&amp;"t?usp=share_link"",""นครศรีธรรมราช!I568"")+IMPORTRANGE(""https://docs.google.com/spreadsheets/d/1BeghqumK0IvCmRd2QOy6_afsZq7ZtAGrSnVJy2u7WmY/edit?usp=share_link"",""นราธิวาส!I568"")+IMPORTRANGE(""https://docs.google.com/spreadsheets/d/1IwnW3-jjRf74MCLW-6P"&amp;"iFwMUffRQXZwZA7YM609NmRc/edit?usp=share_link"",""ปัตตานี!I568"")+IMPORTRANGE(""https://docs.google.com/spreadsheets/d/1vl4QWbWdFruual5o_wdo6ZSqXZ_it806oja4CctTLKs/edit?usp=share_link"",""พังงา!I568"")+IMPORTRANGE(""https://docs.google.com/spreadsheets/d/1"&amp;"b6QssHQp2FoAPSMKHOy273KNzAomaIKhtdlvuZ_zDNE/edit?usp=share_link"",""พัทลุง!I568"")+IMPORTRANGE(""https://docs.google.com/spreadsheets/d/1o7UZe4_OqlqtLDHrj01Z2YFRSZDf1DMy1n3XViHaxRc/edit?usp=share_link"",""ภูเก็ต!I568"")+IMPORTRANGE(""https://docs.google.c"&amp;"om/spreadsheets/d/1ctPm1vUzcUCPuOj9-eoHUD85PqINFqUB0TjdSWmR5-c/edit?usp=share_link"",""ยะลา!I568"")+IMPORTRANGE(""https://docs.google.com/spreadsheets/d/1YiDIE7Klmt8osgdapRqYWNr7iPGFSsiJqq46S7PYRE0/edit?usp=share_link"",""ระนอง!I568"")+IMPORTRANGE(""https"&amp;"://docs.google.com/spreadsheets/d/16o_4B-V7AWw_6E93bSpXj_XxVv1oVQctk-B6z1dNEWU/edit?usp=share_link"",""สงขลา!I568"")+IMPORTRANGE(""https://docs.google.com/spreadsheets/d/16cywr71Fj4fA5OGRHsZh30ZG2gwJhMAQv69oVBzYHv0/edit?usp=share_link"",""สตูล!I568"")+IMP"&amp;"ORTRANGE(""https://docs.google.com/spreadsheets/d/1vO9Sws6kMtrVtyvrAJptINXjK8TFBoX9xLYOVK_C8bQ/edit?usp=share_link"",""สุราษฎร์ธานี!I568"")"),380540)</f>
        <v>380540</v>
      </c>
      <c r="J568" s="194">
        <f t="shared" ref="J568:J569" ca="1" si="284">J570+J572+J574</f>
        <v>373951.77750000003</v>
      </c>
      <c r="K568" s="412">
        <f t="shared" ref="K568:K569" ca="1" si="285">IF(I568&gt;0,J568*100/I568,0)</f>
        <v>98.268717480422552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20.25" customHeight="1">
      <c r="A569" s="607"/>
      <c r="B569" s="608"/>
      <c r="C569" s="608"/>
      <c r="D569" s="608"/>
      <c r="E569" s="618"/>
      <c r="F569" s="618"/>
      <c r="G569" s="175"/>
      <c r="H569" s="192" t="s">
        <v>34</v>
      </c>
      <c r="I569" s="193">
        <f ca="1">IFERROR(__xludf.DUMMYFUNCTION("IMPORTRANGE(""https://docs.google.com/spreadsheets/d/1kC41EOXpGBFOW658Fs3oD8beYlym0-zO54WY-2Qnp9I/edit?usp=share_link"",""กระบี่!I569"")
+IMPORTRANGE(""https://docs.google.com/spreadsheets/d/1FbzMZY_f3MDiEuK7RpCQKrilJ_kpX0Wm7QBZ1L7EjIU/edit?usp=share_link"&amp;""",""ชุมพร!I569"")+IMPORTRANGE(""https://docs.google.com/spreadsheets/d/1v5sN-00LrXuhBxw4dkh2GrG_z4l5oAqOdJRBCsUyMaM/edit?usp=share_link"",""ตรัง!I569"")+IMPORTRANGE(""https://docs.google.com/spreadsheets/d/1T5rRTzFc79aSIvqnzkZNvwPstq829QYz_xALlO1Z0s8/edi"&amp;"t?usp=share_link"",""นครศรีธรรมราช!I569"")+IMPORTRANGE(""https://docs.google.com/spreadsheets/d/1BeghqumK0IvCmRd2QOy6_afsZq7ZtAGrSnVJy2u7WmY/edit?usp=share_link"",""นราธิวาส!I569"")+IMPORTRANGE(""https://docs.google.com/spreadsheets/d/1IwnW3-jjRf74MCLW-6P"&amp;"iFwMUffRQXZwZA7YM609NmRc/edit?usp=share_link"",""ปัตตานี!I569"")+IMPORTRANGE(""https://docs.google.com/spreadsheets/d/1vl4QWbWdFruual5o_wdo6ZSqXZ_it806oja4CctTLKs/edit?usp=share_link"",""พังงา!I569"")+IMPORTRANGE(""https://docs.google.com/spreadsheets/d/1"&amp;"b6QssHQp2FoAPSMKHOy273KNzAomaIKhtdlvuZ_zDNE/edit?usp=share_link"",""พัทลุง!I569"")+IMPORTRANGE(""https://docs.google.com/spreadsheets/d/1o7UZe4_OqlqtLDHrj01Z2YFRSZDf1DMy1n3XViHaxRc/edit?usp=share_link"",""ภูเก็ต!I569"")+IMPORTRANGE(""https://docs.google.c"&amp;"om/spreadsheets/d/1ctPm1vUzcUCPuOj9-eoHUD85PqINFqUB0TjdSWmR5-c/edit?usp=share_link"",""ยะลา!I569"")+IMPORTRANGE(""https://docs.google.com/spreadsheets/d/1YiDIE7Klmt8osgdapRqYWNr7iPGFSsiJqq46S7PYRE0/edit?usp=share_link"",""ระนอง!I569"")+IMPORTRANGE(""https"&amp;"://docs.google.com/spreadsheets/d/16o_4B-V7AWw_6E93bSpXj_XxVv1oVQctk-B6z1dNEWU/edit?usp=share_link"",""สงขลา!I569"")+IMPORTRANGE(""https://docs.google.com/spreadsheets/d/16cywr71Fj4fA5OGRHsZh30ZG2gwJhMAQv69oVBzYHv0/edit?usp=share_link"",""สตูล!I569"")+IMP"&amp;"ORTRANGE(""https://docs.google.com/spreadsheets/d/1vO9Sws6kMtrVtyvrAJptINXjK8TFBoX9xLYOVK_C8bQ/edit?usp=share_link"",""สุราษฎร์ธานี!I569"")"),42774)</f>
        <v>42774</v>
      </c>
      <c r="J569" s="194">
        <f t="shared" ca="1" si="284"/>
        <v>41699</v>
      </c>
      <c r="K569" s="412">
        <f t="shared" ca="1" si="285"/>
        <v>97.486791041286764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20.25" customHeight="1">
      <c r="A570" s="607"/>
      <c r="B570" s="608"/>
      <c r="C570" s="608"/>
      <c r="D570" s="187" t="s">
        <v>241</v>
      </c>
      <c r="E570" s="608"/>
      <c r="F570" s="618"/>
      <c r="G570" s="175"/>
      <c r="H570" s="182" t="s">
        <v>46</v>
      </c>
      <c r="I570" s="162"/>
      <c r="J570" s="183">
        <f ca="1">IFERROR(__xludf.DUMMYFUNCTION("IMPORTRANGE(""https://docs.google.com/spreadsheets/d/1kC41EOXpGBFOW658Fs3oD8beYlym0-zO54WY-2Qnp9I/edit?usp=share_link"",""กระบี่!J570"")
+IMPORTRANGE(""https://docs.google.com/spreadsheets/d/1FbzMZY_f3MDiEuK7RpCQKrilJ_kpX0Wm7QBZ1L7EjIU/edit?usp=share_link"&amp;""",""ชุมพร!J570"")+IMPORTRANGE(""https://docs.google.com/spreadsheets/d/1v5sN-00LrXuhBxw4dkh2GrG_z4l5oAqOdJRBCsUyMaM/edit?usp=share_link"",""ตรัง!J570"")+IMPORTRANGE(""https://docs.google.com/spreadsheets/d/1T5rRTzFc79aSIvqnzkZNvwPstq829QYz_xALlO1Z0s8/edi"&amp;"t?usp=share_link"",""นครศรีธรรมราช!J570"")+IMPORTRANGE(""https://docs.google.com/spreadsheets/d/1BeghqumK0IvCmRd2QOy6_afsZq7ZtAGrSnVJy2u7WmY/edit?usp=share_link"",""นราธิวาส!J570"")+IMPORTRANGE(""https://docs.google.com/spreadsheets/d/1IwnW3-jjRf74MCLW-6P"&amp;"iFwMUffRQXZwZA7YM609NmRc/edit?usp=share_link"",""ปัตตานี!J570"")+IMPORTRANGE(""https://docs.google.com/spreadsheets/d/1vl4QWbWdFruual5o_wdo6ZSqXZ_it806oja4CctTLKs/edit?usp=share_link"",""พังงา!J570"")+IMPORTRANGE(""https://docs.google.com/spreadsheets/d/1"&amp;"b6QssHQp2FoAPSMKHOy273KNzAomaIKhtdlvuZ_zDNE/edit?usp=share_link"",""พัทลุง!J570"")+IMPORTRANGE(""https://docs.google.com/spreadsheets/d/1o7UZe4_OqlqtLDHrj01Z2YFRSZDf1DMy1n3XViHaxRc/edit?usp=share_link"",""ภูเก็ต!J570"")+IMPORTRANGE(""https://docs.google.c"&amp;"om/spreadsheets/d/1ctPm1vUzcUCPuOj9-eoHUD85PqINFqUB0TjdSWmR5-c/edit?usp=share_link"",""ยะลา!J570"")+IMPORTRANGE(""https://docs.google.com/spreadsheets/d/1YiDIE7Klmt8osgdapRqYWNr7iPGFSsiJqq46S7PYRE0/edit?usp=share_link"",""ระนอง!J570"")+IMPORTRANGE(""https"&amp;"://docs.google.com/spreadsheets/d/16o_4B-V7AWw_6E93bSpXj_XxVv1oVQctk-B6z1dNEWU/edit?usp=share_link"",""สงขลา!J570"")+IMPORTRANGE(""https://docs.google.com/spreadsheets/d/16cywr71Fj4fA5OGRHsZh30ZG2gwJhMAQv69oVBzYHv0/edit?usp=share_link"",""สตูล!J570"")+IMP"&amp;"ORTRANGE(""https://docs.google.com/spreadsheets/d/1vO9Sws6kMtrVtyvrAJptINXjK8TFBoX9xLYOVK_C8bQ/edit?usp=share_link"",""สุราษฎร์ธานี!J570"")"),342778)</f>
        <v>342778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20.25" customHeight="1">
      <c r="A571" s="607"/>
      <c r="B571" s="608"/>
      <c r="C571" s="608"/>
      <c r="D571" s="608"/>
      <c r="E571" s="618"/>
      <c r="F571" s="618"/>
      <c r="G571" s="175"/>
      <c r="H571" s="182" t="s">
        <v>34</v>
      </c>
      <c r="I571" s="162"/>
      <c r="J571" s="183">
        <f ca="1">IFERROR(__xludf.DUMMYFUNCTION("IMPORTRANGE(""https://docs.google.com/spreadsheets/d/1kC41EOXpGBFOW658Fs3oD8beYlym0-zO54WY-2Qnp9I/edit?usp=share_link"",""กระบี่!J571"")
+IMPORTRANGE(""https://docs.google.com/spreadsheets/d/1FbzMZY_f3MDiEuK7RpCQKrilJ_kpX0Wm7QBZ1L7EjIU/edit?usp=share_link"&amp;""",""ชุมพร!J571"")+IMPORTRANGE(""https://docs.google.com/spreadsheets/d/1v5sN-00LrXuhBxw4dkh2GrG_z4l5oAqOdJRBCsUyMaM/edit?usp=share_link"",""ตรัง!J571"")+IMPORTRANGE(""https://docs.google.com/spreadsheets/d/1T5rRTzFc79aSIvqnzkZNvwPstq829QYz_xALlO1Z0s8/edi"&amp;"t?usp=share_link"",""นครศรีธรรมราช!J571"")+IMPORTRANGE(""https://docs.google.com/spreadsheets/d/1BeghqumK0IvCmRd2QOy6_afsZq7ZtAGrSnVJy2u7WmY/edit?usp=share_link"",""นราธิวาส!J571"")+IMPORTRANGE(""https://docs.google.com/spreadsheets/d/1IwnW3-jjRf74MCLW-6P"&amp;"iFwMUffRQXZwZA7YM609NmRc/edit?usp=share_link"",""ปัตตานี!J571"")+IMPORTRANGE(""https://docs.google.com/spreadsheets/d/1vl4QWbWdFruual5o_wdo6ZSqXZ_it806oja4CctTLKs/edit?usp=share_link"",""พังงา!J571"")+IMPORTRANGE(""https://docs.google.com/spreadsheets/d/1"&amp;"b6QssHQp2FoAPSMKHOy273KNzAomaIKhtdlvuZ_zDNE/edit?usp=share_link"",""พัทลุง!J571"")+IMPORTRANGE(""https://docs.google.com/spreadsheets/d/1o7UZe4_OqlqtLDHrj01Z2YFRSZDf1DMy1n3XViHaxRc/edit?usp=share_link"",""ภูเก็ต!J571"")+IMPORTRANGE(""https://docs.google.c"&amp;"om/spreadsheets/d/1ctPm1vUzcUCPuOj9-eoHUD85PqINFqUB0TjdSWmR5-c/edit?usp=share_link"",""ยะลา!J571"")+IMPORTRANGE(""https://docs.google.com/spreadsheets/d/1YiDIE7Klmt8osgdapRqYWNr7iPGFSsiJqq46S7PYRE0/edit?usp=share_link"",""ระนอง!J571"")+IMPORTRANGE(""https"&amp;"://docs.google.com/spreadsheets/d/16o_4B-V7AWw_6E93bSpXj_XxVv1oVQctk-B6z1dNEWU/edit?usp=share_link"",""สงขลา!J571"")+IMPORTRANGE(""https://docs.google.com/spreadsheets/d/16cywr71Fj4fA5OGRHsZh30ZG2gwJhMAQv69oVBzYHv0/edit?usp=share_link"",""สตูล!J571"")+IMP"&amp;"ORTRANGE(""https://docs.google.com/spreadsheets/d/1vO9Sws6kMtrVtyvrAJptINXjK8TFBoX9xLYOVK_C8bQ/edit?usp=share_link"",""สุราษฎร์ธานี!J571"")"),38389)</f>
        <v>38389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20.25" customHeight="1">
      <c r="A572" s="607"/>
      <c r="B572" s="608"/>
      <c r="C572" s="608"/>
      <c r="D572" s="187" t="s">
        <v>242</v>
      </c>
      <c r="E572" s="618"/>
      <c r="F572" s="618"/>
      <c r="G572" s="175"/>
      <c r="H572" s="182" t="s">
        <v>46</v>
      </c>
      <c r="I572" s="162"/>
      <c r="J572" s="183">
        <f ca="1">IFERROR(__xludf.DUMMYFUNCTION("IMPORTRANGE(""https://docs.google.com/spreadsheets/d/1kC41EOXpGBFOW658Fs3oD8beYlym0-zO54WY-2Qnp9I/edit?usp=share_link"",""กระบี่!J572"")
+IMPORTRANGE(""https://docs.google.com/spreadsheets/d/1FbzMZY_f3MDiEuK7RpCQKrilJ_kpX0Wm7QBZ1L7EjIU/edit?usp=share_link"&amp;""",""ชุมพร!J572"")+IMPORTRANGE(""https://docs.google.com/spreadsheets/d/1v5sN-00LrXuhBxw4dkh2GrG_z4l5oAqOdJRBCsUyMaM/edit?usp=share_link"",""ตรัง!J572"")+IMPORTRANGE(""https://docs.google.com/spreadsheets/d/1T5rRTzFc79aSIvqnzkZNvwPstq829QYz_xALlO1Z0s8/edi"&amp;"t?usp=share_link"",""นครศรีธรรมราช!J572"")+IMPORTRANGE(""https://docs.google.com/spreadsheets/d/1BeghqumK0IvCmRd2QOy6_afsZq7ZtAGrSnVJy2u7WmY/edit?usp=share_link"",""นราธิวาส!J572"")+IMPORTRANGE(""https://docs.google.com/spreadsheets/d/1IwnW3-jjRf74MCLW-6P"&amp;"iFwMUffRQXZwZA7YM609NmRc/edit?usp=share_link"",""ปัตตานี!J572"")+IMPORTRANGE(""https://docs.google.com/spreadsheets/d/1vl4QWbWdFruual5o_wdo6ZSqXZ_it806oja4CctTLKs/edit?usp=share_link"",""พังงา!J572"")+IMPORTRANGE(""https://docs.google.com/spreadsheets/d/1"&amp;"b6QssHQp2FoAPSMKHOy273KNzAomaIKhtdlvuZ_zDNE/edit?usp=share_link"",""พัทลุง!J572"")+IMPORTRANGE(""https://docs.google.com/spreadsheets/d/1o7UZe4_OqlqtLDHrj01Z2YFRSZDf1DMy1n3XViHaxRc/edit?usp=share_link"",""ภูเก็ต!J572"")+IMPORTRANGE(""https://docs.google.c"&amp;"om/spreadsheets/d/1ctPm1vUzcUCPuOj9-eoHUD85PqINFqUB0TjdSWmR5-c/edit?usp=share_link"",""ยะลา!J572"")+IMPORTRANGE(""https://docs.google.com/spreadsheets/d/1YiDIE7Klmt8osgdapRqYWNr7iPGFSsiJqq46S7PYRE0/edit?usp=share_link"",""ระนอง!J572"")+IMPORTRANGE(""https"&amp;"://docs.google.com/spreadsheets/d/16o_4B-V7AWw_6E93bSpXj_XxVv1oVQctk-B6z1dNEWU/edit?usp=share_link"",""สงขลา!J572"")+IMPORTRANGE(""https://docs.google.com/spreadsheets/d/16cywr71Fj4fA5OGRHsZh30ZG2gwJhMAQv69oVBzYHv0/edit?usp=share_link"",""สตูล!J572"")+IMP"&amp;"ORTRANGE(""https://docs.google.com/spreadsheets/d/1vO9Sws6kMtrVtyvrAJptINXjK8TFBoX9xLYOVK_C8bQ/edit?usp=share_link"",""สุราษฎร์ธานี!J572"")"),23439)</f>
        <v>23439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20.25" customHeight="1">
      <c r="A573" s="607"/>
      <c r="B573" s="608"/>
      <c r="C573" s="608"/>
      <c r="D573" s="618"/>
      <c r="E573" s="618"/>
      <c r="F573" s="618"/>
      <c r="G573" s="175"/>
      <c r="H573" s="182" t="s">
        <v>34</v>
      </c>
      <c r="I573" s="162"/>
      <c r="J573" s="183">
        <f ca="1">IFERROR(__xludf.DUMMYFUNCTION("IMPORTRANGE(""https://docs.google.com/spreadsheets/d/1kC41EOXpGBFOW658Fs3oD8beYlym0-zO54WY-2Qnp9I/edit?usp=share_link"",""กระบี่!J573"")
+IMPORTRANGE(""https://docs.google.com/spreadsheets/d/1FbzMZY_f3MDiEuK7RpCQKrilJ_kpX0Wm7QBZ1L7EjIU/edit?usp=share_link"&amp;""",""ชุมพร!J573"")+IMPORTRANGE(""https://docs.google.com/spreadsheets/d/1v5sN-00LrXuhBxw4dkh2GrG_z4l5oAqOdJRBCsUyMaM/edit?usp=share_link"",""ตรัง!J573"")+IMPORTRANGE(""https://docs.google.com/spreadsheets/d/1T5rRTzFc79aSIvqnzkZNvwPstq829QYz_xALlO1Z0s8/edi"&amp;"t?usp=share_link"",""นครศรีธรรมราช!J573"")+IMPORTRANGE(""https://docs.google.com/spreadsheets/d/1BeghqumK0IvCmRd2QOy6_afsZq7ZtAGrSnVJy2u7WmY/edit?usp=share_link"",""นราธิวาส!J573"")+IMPORTRANGE(""https://docs.google.com/spreadsheets/d/1IwnW3-jjRf74MCLW-6P"&amp;"iFwMUffRQXZwZA7YM609NmRc/edit?usp=share_link"",""ปัตตานี!J573"")+IMPORTRANGE(""https://docs.google.com/spreadsheets/d/1vl4QWbWdFruual5o_wdo6ZSqXZ_it806oja4CctTLKs/edit?usp=share_link"",""พังงา!J573"")+IMPORTRANGE(""https://docs.google.com/spreadsheets/d/1"&amp;"b6QssHQp2FoAPSMKHOy273KNzAomaIKhtdlvuZ_zDNE/edit?usp=share_link"",""พัทลุง!J573"")+IMPORTRANGE(""https://docs.google.com/spreadsheets/d/1o7UZe4_OqlqtLDHrj01Z2YFRSZDf1DMy1n3XViHaxRc/edit?usp=share_link"",""ภูเก็ต!J573"")+IMPORTRANGE(""https://docs.google.c"&amp;"om/spreadsheets/d/1ctPm1vUzcUCPuOj9-eoHUD85PqINFqUB0TjdSWmR5-c/edit?usp=share_link"",""ยะลา!J573"")+IMPORTRANGE(""https://docs.google.com/spreadsheets/d/1YiDIE7Klmt8osgdapRqYWNr7iPGFSsiJqq46S7PYRE0/edit?usp=share_link"",""ระนอง!J573"")+IMPORTRANGE(""https"&amp;"://docs.google.com/spreadsheets/d/16o_4B-V7AWw_6E93bSpXj_XxVv1oVQctk-B6z1dNEWU/edit?usp=share_link"",""สงขลา!J573"")+IMPORTRANGE(""https://docs.google.com/spreadsheets/d/16cywr71Fj4fA5OGRHsZh30ZG2gwJhMAQv69oVBzYHv0/edit?usp=share_link"",""สตูล!J573"")+IMP"&amp;"ORTRANGE(""https://docs.google.com/spreadsheets/d/1vO9Sws6kMtrVtyvrAJptINXjK8TFBoX9xLYOVK_C8bQ/edit?usp=share_link"",""สุราษฎร์ธานี!J573"")"),2402)</f>
        <v>2402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20.25" customHeight="1">
      <c r="A574" s="607"/>
      <c r="B574" s="608"/>
      <c r="C574" s="608"/>
      <c r="D574" s="187" t="s">
        <v>243</v>
      </c>
      <c r="E574" s="618"/>
      <c r="F574" s="618"/>
      <c r="G574" s="175"/>
      <c r="H574" s="182" t="s">
        <v>46</v>
      </c>
      <c r="I574" s="162"/>
      <c r="J574" s="183">
        <f ca="1">IFERROR(__xludf.DUMMYFUNCTION("IMPORTRANGE(""https://docs.google.com/spreadsheets/d/1kC41EOXpGBFOW658Fs3oD8beYlym0-zO54WY-2Qnp9I/edit?usp=share_link"",""กระบี่!J574"")
+IMPORTRANGE(""https://docs.google.com/spreadsheets/d/1FbzMZY_f3MDiEuK7RpCQKrilJ_kpX0Wm7QBZ1L7EjIU/edit?usp=share_link"&amp;""",""ชุมพร!J574"")+IMPORTRANGE(""https://docs.google.com/spreadsheets/d/1v5sN-00LrXuhBxw4dkh2GrG_z4l5oAqOdJRBCsUyMaM/edit?usp=share_link"",""ตรัง!J574"")+IMPORTRANGE(""https://docs.google.com/spreadsheets/d/1T5rRTzFc79aSIvqnzkZNvwPstq829QYz_xALlO1Z0s8/edi"&amp;"t?usp=share_link"",""นครศรีธรรมราช!J574"")+IMPORTRANGE(""https://docs.google.com/spreadsheets/d/1BeghqumK0IvCmRd2QOy6_afsZq7ZtAGrSnVJy2u7WmY/edit?usp=share_link"",""นราธิวาส!J574"")+IMPORTRANGE(""https://docs.google.com/spreadsheets/d/1IwnW3-jjRf74MCLW-6P"&amp;"iFwMUffRQXZwZA7YM609NmRc/edit?usp=share_link"",""ปัตตานี!J574"")+IMPORTRANGE(""https://docs.google.com/spreadsheets/d/1vl4QWbWdFruual5o_wdo6ZSqXZ_it806oja4CctTLKs/edit?usp=share_link"",""พังงา!J574"")+IMPORTRANGE(""https://docs.google.com/spreadsheets/d/1"&amp;"b6QssHQp2FoAPSMKHOy273KNzAomaIKhtdlvuZ_zDNE/edit?usp=share_link"",""พัทลุง!J574"")+IMPORTRANGE(""https://docs.google.com/spreadsheets/d/1o7UZe4_OqlqtLDHrj01Z2YFRSZDf1DMy1n3XViHaxRc/edit?usp=share_link"",""ภูเก็ต!J574"")+IMPORTRANGE(""https://docs.google.c"&amp;"om/spreadsheets/d/1ctPm1vUzcUCPuOj9-eoHUD85PqINFqUB0TjdSWmR5-c/edit?usp=share_link"",""ยะลา!J574"")+IMPORTRANGE(""https://docs.google.com/spreadsheets/d/1YiDIE7Klmt8osgdapRqYWNr7iPGFSsiJqq46S7PYRE0/edit?usp=share_link"",""ระนอง!J574"")+IMPORTRANGE(""https"&amp;"://docs.google.com/spreadsheets/d/16o_4B-V7AWw_6E93bSpXj_XxVv1oVQctk-B6z1dNEWU/edit?usp=share_link"",""สงขลา!J574"")+IMPORTRANGE(""https://docs.google.com/spreadsheets/d/16cywr71Fj4fA5OGRHsZh30ZG2gwJhMAQv69oVBzYHv0/edit?usp=share_link"",""สตูล!J574"")+IMP"&amp;"ORTRANGE(""https://docs.google.com/spreadsheets/d/1vO9Sws6kMtrVtyvrAJptINXjK8TFBoX9xLYOVK_C8bQ/edit?usp=share_link"",""สุราษฎร์ธานี!J574"")"),7734.7775)</f>
        <v>7734.7775000000001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20.25" customHeight="1">
      <c r="A575" s="607"/>
      <c r="B575" s="608"/>
      <c r="C575" s="608"/>
      <c r="D575" s="608"/>
      <c r="E575" s="618"/>
      <c r="F575" s="618"/>
      <c r="G575" s="175"/>
      <c r="H575" s="182" t="s">
        <v>34</v>
      </c>
      <c r="I575" s="162"/>
      <c r="J575" s="183">
        <f ca="1">IFERROR(__xludf.DUMMYFUNCTION("IMPORTRANGE(""https://docs.google.com/spreadsheets/d/1kC41EOXpGBFOW658Fs3oD8beYlym0-zO54WY-2Qnp9I/edit?usp=share_link"",""กระบี่!J575"")
+IMPORTRANGE(""https://docs.google.com/spreadsheets/d/1FbzMZY_f3MDiEuK7RpCQKrilJ_kpX0Wm7QBZ1L7EjIU/edit?usp=share_link"&amp;""",""ชุมพร!J575"")+IMPORTRANGE(""https://docs.google.com/spreadsheets/d/1v5sN-00LrXuhBxw4dkh2GrG_z4l5oAqOdJRBCsUyMaM/edit?usp=share_link"",""ตรัง!J575"")+IMPORTRANGE(""https://docs.google.com/spreadsheets/d/1T5rRTzFc79aSIvqnzkZNvwPstq829QYz_xALlO1Z0s8/edi"&amp;"t?usp=share_link"",""นครศรีธรรมราช!J575"")+IMPORTRANGE(""https://docs.google.com/spreadsheets/d/1BeghqumK0IvCmRd2QOy6_afsZq7ZtAGrSnVJy2u7WmY/edit?usp=share_link"",""นราธิวาส!J575"")+IMPORTRANGE(""https://docs.google.com/spreadsheets/d/1IwnW3-jjRf74MCLW-6P"&amp;"iFwMUffRQXZwZA7YM609NmRc/edit?usp=share_link"",""ปัตตานี!J575"")+IMPORTRANGE(""https://docs.google.com/spreadsheets/d/1vl4QWbWdFruual5o_wdo6ZSqXZ_it806oja4CctTLKs/edit?usp=share_link"",""พังงา!J575"")+IMPORTRANGE(""https://docs.google.com/spreadsheets/d/1"&amp;"b6QssHQp2FoAPSMKHOy273KNzAomaIKhtdlvuZ_zDNE/edit?usp=share_link"",""พัทลุง!J575"")+IMPORTRANGE(""https://docs.google.com/spreadsheets/d/1o7UZe4_OqlqtLDHrj01Z2YFRSZDf1DMy1n3XViHaxRc/edit?usp=share_link"",""ภูเก็ต!J575"")+IMPORTRANGE(""https://docs.google.c"&amp;"om/spreadsheets/d/1ctPm1vUzcUCPuOj9-eoHUD85PqINFqUB0TjdSWmR5-c/edit?usp=share_link"",""ยะลา!J575"")+IMPORTRANGE(""https://docs.google.com/spreadsheets/d/1YiDIE7Klmt8osgdapRqYWNr7iPGFSsiJqq46S7PYRE0/edit?usp=share_link"",""ระนอง!J575"")+IMPORTRANGE(""https"&amp;"://docs.google.com/spreadsheets/d/16o_4B-V7AWw_6E93bSpXj_XxVv1oVQctk-B6z1dNEWU/edit?usp=share_link"",""สงขลา!J575"")+IMPORTRANGE(""https://docs.google.com/spreadsheets/d/16cywr71Fj4fA5OGRHsZh30ZG2gwJhMAQv69oVBzYHv0/edit?usp=share_link"",""สตูล!J575"")+IMP"&amp;"ORTRANGE(""https://docs.google.com/spreadsheets/d/1vO9Sws6kMtrVtyvrAJptINXjK8TFBoX9xLYOVK_C8bQ/edit?usp=share_link"",""สุราษฎร์ธานี!J575"")"),908)</f>
        <v>908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20.25" customHeight="1">
      <c r="A576" s="607"/>
      <c r="B576" s="608"/>
      <c r="C576" s="621" t="s">
        <v>244</v>
      </c>
      <c r="D576" s="608"/>
      <c r="E576" s="608"/>
      <c r="F576" s="618"/>
      <c r="G576" s="175"/>
      <c r="H576" s="192" t="s">
        <v>46</v>
      </c>
      <c r="I576" s="193">
        <f ca="1">IFERROR(__xludf.DUMMYFUNCTION("IMPORTRANGE(""https://docs.google.com/spreadsheets/d/1kC41EOXpGBFOW658Fs3oD8beYlym0-zO54WY-2Qnp9I/edit?usp=share_link"",""กระบี่!I576"")
+IMPORTRANGE(""https://docs.google.com/spreadsheets/d/1FbzMZY_f3MDiEuK7RpCQKrilJ_kpX0Wm7QBZ1L7EjIU/edit?usp=share_link"&amp;""",""ชุมพร!I576"")+IMPORTRANGE(""https://docs.google.com/spreadsheets/d/1v5sN-00LrXuhBxw4dkh2GrG_z4l5oAqOdJRBCsUyMaM/edit?usp=share_link"",""ตรัง!I576"")+IMPORTRANGE(""https://docs.google.com/spreadsheets/d/1T5rRTzFc79aSIvqnzkZNvwPstq829QYz_xALlO1Z0s8/edi"&amp;"t?usp=share_link"",""นครศรีธรรมราช!I576"")+IMPORTRANGE(""https://docs.google.com/spreadsheets/d/1BeghqumK0IvCmRd2QOy6_afsZq7ZtAGrSnVJy2u7WmY/edit?usp=share_link"",""นราธิวาส!I576"")+IMPORTRANGE(""https://docs.google.com/spreadsheets/d/1IwnW3-jjRf74MCLW-6P"&amp;"iFwMUffRQXZwZA7YM609NmRc/edit?usp=share_link"",""ปัตตานี!I576"")+IMPORTRANGE(""https://docs.google.com/spreadsheets/d/1vl4QWbWdFruual5o_wdo6ZSqXZ_it806oja4CctTLKs/edit?usp=share_link"",""พังงา!I576"")+IMPORTRANGE(""https://docs.google.com/spreadsheets/d/1"&amp;"b6QssHQp2FoAPSMKHOy273KNzAomaIKhtdlvuZ_zDNE/edit?usp=share_link"",""พัทลุง!I576"")+IMPORTRANGE(""https://docs.google.com/spreadsheets/d/1o7UZe4_OqlqtLDHrj01Z2YFRSZDf1DMy1n3XViHaxRc/edit?usp=share_link"",""ภูเก็ต!I576"")+IMPORTRANGE(""https://docs.google.c"&amp;"om/spreadsheets/d/1ctPm1vUzcUCPuOj9-eoHUD85PqINFqUB0TjdSWmR5-c/edit?usp=share_link"",""ยะลา!I576"")+IMPORTRANGE(""https://docs.google.com/spreadsheets/d/1YiDIE7Klmt8osgdapRqYWNr7iPGFSsiJqq46S7PYRE0/edit?usp=share_link"",""ระนอง!I576"")+IMPORTRANGE(""https"&amp;"://docs.google.com/spreadsheets/d/16o_4B-V7AWw_6E93bSpXj_XxVv1oVQctk-B6z1dNEWU/edit?usp=share_link"",""สงขลา!I576"")+IMPORTRANGE(""https://docs.google.com/spreadsheets/d/16cywr71Fj4fA5OGRHsZh30ZG2gwJhMAQv69oVBzYHv0/edit?usp=share_link"",""สตูล!I576"")+IMP"&amp;"ORTRANGE(""https://docs.google.com/spreadsheets/d/1vO9Sws6kMtrVtyvrAJptINXjK8TFBoX9xLYOVK_C8bQ/edit?usp=share_link"",""สุราษฎร์ธานี!I576"")"),380540)</f>
        <v>380540</v>
      </c>
      <c r="J576" s="194">
        <f t="shared" ref="J576:J577" ca="1" si="286">J578+J580+J582+J588+J590</f>
        <v>361645.17499999999</v>
      </c>
      <c r="K576" s="412">
        <f t="shared" ref="K576:K577" ca="1" si="287">IF(I576&gt;0,J576*100/I576,0)</f>
        <v>95.034733536553318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20.25" customHeight="1">
      <c r="A577" s="607"/>
      <c r="B577" s="608"/>
      <c r="C577" s="608"/>
      <c r="D577" s="608"/>
      <c r="E577" s="618"/>
      <c r="F577" s="618"/>
      <c r="G577" s="175"/>
      <c r="H577" s="192" t="s">
        <v>34</v>
      </c>
      <c r="I577" s="193">
        <f ca="1">IFERROR(__xludf.DUMMYFUNCTION("IMPORTRANGE(""https://docs.google.com/spreadsheets/d/1kC41EOXpGBFOW658Fs3oD8beYlym0-zO54WY-2Qnp9I/edit?usp=share_link"",""กระบี่!I577"")
+IMPORTRANGE(""https://docs.google.com/spreadsheets/d/1FbzMZY_f3MDiEuK7RpCQKrilJ_kpX0Wm7QBZ1L7EjIU/edit?usp=share_link"&amp;""",""ชุมพร!I577"")+IMPORTRANGE(""https://docs.google.com/spreadsheets/d/1v5sN-00LrXuhBxw4dkh2GrG_z4l5oAqOdJRBCsUyMaM/edit?usp=share_link"",""ตรัง!I577"")+IMPORTRANGE(""https://docs.google.com/spreadsheets/d/1T5rRTzFc79aSIvqnzkZNvwPstq829QYz_xALlO1Z0s8/edi"&amp;"t?usp=share_link"",""นครศรีธรรมราช!I577"")+IMPORTRANGE(""https://docs.google.com/spreadsheets/d/1BeghqumK0IvCmRd2QOy6_afsZq7ZtAGrSnVJy2u7WmY/edit?usp=share_link"",""นราธิวาส!I577"")+IMPORTRANGE(""https://docs.google.com/spreadsheets/d/1IwnW3-jjRf74MCLW-6P"&amp;"iFwMUffRQXZwZA7YM609NmRc/edit?usp=share_link"",""ปัตตานี!I577"")+IMPORTRANGE(""https://docs.google.com/spreadsheets/d/1vl4QWbWdFruual5o_wdo6ZSqXZ_it806oja4CctTLKs/edit?usp=share_link"",""พังงา!I577"")+IMPORTRANGE(""https://docs.google.com/spreadsheets/d/1"&amp;"b6QssHQp2FoAPSMKHOy273KNzAomaIKhtdlvuZ_zDNE/edit?usp=share_link"",""พัทลุง!I577"")+IMPORTRANGE(""https://docs.google.com/spreadsheets/d/1o7UZe4_OqlqtLDHrj01Z2YFRSZDf1DMy1n3XViHaxRc/edit?usp=share_link"",""ภูเก็ต!I577"")+IMPORTRANGE(""https://docs.google.c"&amp;"om/spreadsheets/d/1ctPm1vUzcUCPuOj9-eoHUD85PqINFqUB0TjdSWmR5-c/edit?usp=share_link"",""ยะลา!I577"")+IMPORTRANGE(""https://docs.google.com/spreadsheets/d/1YiDIE7Klmt8osgdapRqYWNr7iPGFSsiJqq46S7PYRE0/edit?usp=share_link"",""ระนอง!I577"")+IMPORTRANGE(""https"&amp;"://docs.google.com/spreadsheets/d/16o_4B-V7AWw_6E93bSpXj_XxVv1oVQctk-B6z1dNEWU/edit?usp=share_link"",""สงขลา!I577"")+IMPORTRANGE(""https://docs.google.com/spreadsheets/d/16cywr71Fj4fA5OGRHsZh30ZG2gwJhMAQv69oVBzYHv0/edit?usp=share_link"",""สตูล!I577"")+IMP"&amp;"ORTRANGE(""https://docs.google.com/spreadsheets/d/1vO9Sws6kMtrVtyvrAJptINXjK8TFBoX9xLYOVK_C8bQ/edit?usp=share_link"",""สุราษฎร์ธานี!I577"")"),42774)</f>
        <v>42774</v>
      </c>
      <c r="J577" s="194">
        <f t="shared" ca="1" si="286"/>
        <v>40561</v>
      </c>
      <c r="K577" s="412">
        <f t="shared" ca="1" si="287"/>
        <v>94.826296348248931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20.25" customHeight="1">
      <c r="A578" s="607"/>
      <c r="B578" s="608"/>
      <c r="C578" s="608"/>
      <c r="D578" s="187" t="s">
        <v>245</v>
      </c>
      <c r="E578" s="618"/>
      <c r="F578" s="618"/>
      <c r="G578" s="175"/>
      <c r="H578" s="182" t="s">
        <v>46</v>
      </c>
      <c r="I578" s="162"/>
      <c r="J578" s="183">
        <f ca="1">IFERROR(__xludf.DUMMYFUNCTION("IMPORTRANGE(""https://docs.google.com/spreadsheets/d/1kC41EOXpGBFOW658Fs3oD8beYlym0-zO54WY-2Qnp9I/edit?usp=share_link"",""กระบี่!J578"")
+IMPORTRANGE(""https://docs.google.com/spreadsheets/d/1FbzMZY_f3MDiEuK7RpCQKrilJ_kpX0Wm7QBZ1L7EjIU/edit?usp=share_link"&amp;""",""ชุมพร!J578"")+IMPORTRANGE(""https://docs.google.com/spreadsheets/d/1v5sN-00LrXuhBxw4dkh2GrG_z4l5oAqOdJRBCsUyMaM/edit?usp=share_link"",""ตรัง!J578"")+IMPORTRANGE(""https://docs.google.com/spreadsheets/d/1T5rRTzFc79aSIvqnzkZNvwPstq829QYz_xALlO1Z0s8/edi"&amp;"t?usp=share_link"",""นครศรีธรรมราช!J578"")+IMPORTRANGE(""https://docs.google.com/spreadsheets/d/1BeghqumK0IvCmRd2QOy6_afsZq7ZtAGrSnVJy2u7WmY/edit?usp=share_link"",""นราธิวาส!J578"")+IMPORTRANGE(""https://docs.google.com/spreadsheets/d/1IwnW3-jjRf74MCLW-6P"&amp;"iFwMUffRQXZwZA7YM609NmRc/edit?usp=share_link"",""ปัตตานี!J578"")+IMPORTRANGE(""https://docs.google.com/spreadsheets/d/1vl4QWbWdFruual5o_wdo6ZSqXZ_it806oja4CctTLKs/edit?usp=share_link"",""พังงา!J578"")+IMPORTRANGE(""https://docs.google.com/spreadsheets/d/1"&amp;"b6QssHQp2FoAPSMKHOy273KNzAomaIKhtdlvuZ_zDNE/edit?usp=share_link"",""พัทลุง!J578"")+IMPORTRANGE(""https://docs.google.com/spreadsheets/d/1o7UZe4_OqlqtLDHrj01Z2YFRSZDf1DMy1n3XViHaxRc/edit?usp=share_link"",""ภูเก็ต!J578"")+IMPORTRANGE(""https://docs.google.c"&amp;"om/spreadsheets/d/1ctPm1vUzcUCPuOj9-eoHUD85PqINFqUB0TjdSWmR5-c/edit?usp=share_link"",""ยะลา!J578"")+IMPORTRANGE(""https://docs.google.com/spreadsheets/d/1YiDIE7Klmt8osgdapRqYWNr7iPGFSsiJqq46S7PYRE0/edit?usp=share_link"",""ระนอง!J578"")+IMPORTRANGE(""https"&amp;"://docs.google.com/spreadsheets/d/16o_4B-V7AWw_6E93bSpXj_XxVv1oVQctk-B6z1dNEWU/edit?usp=share_link"",""สงขลา!J578"")+IMPORTRANGE(""https://docs.google.com/spreadsheets/d/16cywr71Fj4fA5OGRHsZh30ZG2gwJhMAQv69oVBzYHv0/edit?usp=share_link"",""สตูล!J578"")+IMP"&amp;"ORTRANGE(""https://docs.google.com/spreadsheets/d/1vO9Sws6kMtrVtyvrAJptINXjK8TFBoX9xLYOVK_C8bQ/edit?usp=share_link"",""สุราษฎร์ธานี!J578"")"),337325.8025)</f>
        <v>337325.80249999999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20.25" customHeight="1">
      <c r="A579" s="607"/>
      <c r="B579" s="608"/>
      <c r="C579" s="608"/>
      <c r="D579" s="608"/>
      <c r="E579" s="618"/>
      <c r="F579" s="618"/>
      <c r="G579" s="175"/>
      <c r="H579" s="182" t="s">
        <v>34</v>
      </c>
      <c r="I579" s="162"/>
      <c r="J579" s="183">
        <f ca="1">IFERROR(__xludf.DUMMYFUNCTION("IMPORTRANGE(""https://docs.google.com/spreadsheets/d/1kC41EOXpGBFOW658Fs3oD8beYlym0-zO54WY-2Qnp9I/edit?usp=share_link"",""กระบี่!J579"")
+IMPORTRANGE(""https://docs.google.com/spreadsheets/d/1FbzMZY_f3MDiEuK7RpCQKrilJ_kpX0Wm7QBZ1L7EjIU/edit?usp=share_link"&amp;""",""ชุมพร!J579"")+IMPORTRANGE(""https://docs.google.com/spreadsheets/d/1v5sN-00LrXuhBxw4dkh2GrG_z4l5oAqOdJRBCsUyMaM/edit?usp=share_link"",""ตรัง!J579"")+IMPORTRANGE(""https://docs.google.com/spreadsheets/d/1T5rRTzFc79aSIvqnzkZNvwPstq829QYz_xALlO1Z0s8/edi"&amp;"t?usp=share_link"",""นครศรีธรรมราช!J579"")+IMPORTRANGE(""https://docs.google.com/spreadsheets/d/1BeghqumK0IvCmRd2QOy6_afsZq7ZtAGrSnVJy2u7WmY/edit?usp=share_link"",""นราธิวาส!J579"")+IMPORTRANGE(""https://docs.google.com/spreadsheets/d/1IwnW3-jjRf74MCLW-6P"&amp;"iFwMUffRQXZwZA7YM609NmRc/edit?usp=share_link"",""ปัตตานี!J579"")+IMPORTRANGE(""https://docs.google.com/spreadsheets/d/1vl4QWbWdFruual5o_wdo6ZSqXZ_it806oja4CctTLKs/edit?usp=share_link"",""พังงา!J579"")+IMPORTRANGE(""https://docs.google.com/spreadsheets/d/1"&amp;"b6QssHQp2FoAPSMKHOy273KNzAomaIKhtdlvuZ_zDNE/edit?usp=share_link"",""พัทลุง!J579"")+IMPORTRANGE(""https://docs.google.com/spreadsheets/d/1o7UZe4_OqlqtLDHrj01Z2YFRSZDf1DMy1n3XViHaxRc/edit?usp=share_link"",""ภูเก็ต!J579"")+IMPORTRANGE(""https://docs.google.c"&amp;"om/spreadsheets/d/1ctPm1vUzcUCPuOj9-eoHUD85PqINFqUB0TjdSWmR5-c/edit?usp=share_link"",""ยะลา!J579"")+IMPORTRANGE(""https://docs.google.com/spreadsheets/d/1YiDIE7Klmt8osgdapRqYWNr7iPGFSsiJqq46S7PYRE0/edit?usp=share_link"",""ระนอง!J579"")+IMPORTRANGE(""https"&amp;"://docs.google.com/spreadsheets/d/16o_4B-V7AWw_6E93bSpXj_XxVv1oVQctk-B6z1dNEWU/edit?usp=share_link"",""สงขลา!J579"")+IMPORTRANGE(""https://docs.google.com/spreadsheets/d/16cywr71Fj4fA5OGRHsZh30ZG2gwJhMAQv69oVBzYHv0/edit?usp=share_link"",""สตูล!J579"")+IMP"&amp;"ORTRANGE(""https://docs.google.com/spreadsheets/d/1vO9Sws6kMtrVtyvrAJptINXjK8TFBoX9xLYOVK_C8bQ/edit?usp=share_link"",""สุราษฎร์ธานี!J579"")"),37988)</f>
        <v>37988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20.25" customHeight="1">
      <c r="A580" s="607"/>
      <c r="B580" s="608"/>
      <c r="C580" s="608"/>
      <c r="D580" s="187" t="s">
        <v>246</v>
      </c>
      <c r="E580" s="618"/>
      <c r="F580" s="618"/>
      <c r="G580" s="175"/>
      <c r="H580" s="182" t="s">
        <v>46</v>
      </c>
      <c r="I580" s="162"/>
      <c r="J580" s="183">
        <f ca="1">IFERROR(__xludf.DUMMYFUNCTION("IMPORTRANGE(""https://docs.google.com/spreadsheets/d/1kC41EOXpGBFOW658Fs3oD8beYlym0-zO54WY-2Qnp9I/edit?usp=share_link"",""กระบี่!J580"")
+IMPORTRANGE(""https://docs.google.com/spreadsheets/d/1FbzMZY_f3MDiEuK7RpCQKrilJ_kpX0Wm7QBZ1L7EjIU/edit?usp=share_link"&amp;""",""ชุมพร!J580"")+IMPORTRANGE(""https://docs.google.com/spreadsheets/d/1v5sN-00LrXuhBxw4dkh2GrG_z4l5oAqOdJRBCsUyMaM/edit?usp=share_link"",""ตรัง!J580"")+IMPORTRANGE(""https://docs.google.com/spreadsheets/d/1T5rRTzFc79aSIvqnzkZNvwPstq829QYz_xALlO1Z0s8/edi"&amp;"t?usp=share_link"",""นครศรีธรรมราช!J580"")+IMPORTRANGE(""https://docs.google.com/spreadsheets/d/1BeghqumK0IvCmRd2QOy6_afsZq7ZtAGrSnVJy2u7WmY/edit?usp=share_link"",""นราธิวาส!J580"")+IMPORTRANGE(""https://docs.google.com/spreadsheets/d/1IwnW3-jjRf74MCLW-6P"&amp;"iFwMUffRQXZwZA7YM609NmRc/edit?usp=share_link"",""ปัตตานี!J580"")+IMPORTRANGE(""https://docs.google.com/spreadsheets/d/1vl4QWbWdFruual5o_wdo6ZSqXZ_it806oja4CctTLKs/edit?usp=share_link"",""พังงา!J580"")+IMPORTRANGE(""https://docs.google.com/spreadsheets/d/1"&amp;"b6QssHQp2FoAPSMKHOy273KNzAomaIKhtdlvuZ_zDNE/edit?usp=share_link"",""พัทลุง!J580"")+IMPORTRANGE(""https://docs.google.com/spreadsheets/d/1o7UZe4_OqlqtLDHrj01Z2YFRSZDf1DMy1n3XViHaxRc/edit?usp=share_link"",""ภูเก็ต!J580"")+IMPORTRANGE(""https://docs.google.c"&amp;"om/spreadsheets/d/1ctPm1vUzcUCPuOj9-eoHUD85PqINFqUB0TjdSWmR5-c/edit?usp=share_link"",""ยะลา!J580"")+IMPORTRANGE(""https://docs.google.com/spreadsheets/d/1YiDIE7Klmt8osgdapRqYWNr7iPGFSsiJqq46S7PYRE0/edit?usp=share_link"",""ระนอง!J580"")+IMPORTRANGE(""https"&amp;"://docs.google.com/spreadsheets/d/16o_4B-V7AWw_6E93bSpXj_XxVv1oVQctk-B6z1dNEWU/edit?usp=share_link"",""สงขลา!J580"")+IMPORTRANGE(""https://docs.google.com/spreadsheets/d/16cywr71Fj4fA5OGRHsZh30ZG2gwJhMAQv69oVBzYHv0/edit?usp=share_link"",""สตูล!J580"")+IMP"&amp;"ORTRANGE(""https://docs.google.com/spreadsheets/d/1vO9Sws6kMtrVtyvrAJptINXjK8TFBoX9xLYOVK_C8bQ/edit?usp=share_link"",""สุราษฎร์ธานี!J580"")"),17329.815)</f>
        <v>17329.814999999999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20.25" customHeight="1">
      <c r="A581" s="607"/>
      <c r="B581" s="608"/>
      <c r="C581" s="608"/>
      <c r="D581" s="608"/>
      <c r="E581" s="618"/>
      <c r="F581" s="618"/>
      <c r="G581" s="175"/>
      <c r="H581" s="182" t="s">
        <v>34</v>
      </c>
      <c r="I581" s="162"/>
      <c r="J581" s="183">
        <f ca="1">IFERROR(__xludf.DUMMYFUNCTION("IMPORTRANGE(""https://docs.google.com/spreadsheets/d/1kC41EOXpGBFOW658Fs3oD8beYlym0-zO54WY-2Qnp9I/edit?usp=share_link"",""กระบี่!J581"")
+IMPORTRANGE(""https://docs.google.com/spreadsheets/d/1FbzMZY_f3MDiEuK7RpCQKrilJ_kpX0Wm7QBZ1L7EjIU/edit?usp=share_link"&amp;""",""ชุมพร!J581"")+IMPORTRANGE(""https://docs.google.com/spreadsheets/d/1v5sN-00LrXuhBxw4dkh2GrG_z4l5oAqOdJRBCsUyMaM/edit?usp=share_link"",""ตรัง!J581"")+IMPORTRANGE(""https://docs.google.com/spreadsheets/d/1T5rRTzFc79aSIvqnzkZNvwPstq829QYz_xALlO1Z0s8/edi"&amp;"t?usp=share_link"",""นครศรีธรรมราช!J581"")+IMPORTRANGE(""https://docs.google.com/spreadsheets/d/1BeghqumK0IvCmRd2QOy6_afsZq7ZtAGrSnVJy2u7WmY/edit?usp=share_link"",""นราธิวาส!J581"")+IMPORTRANGE(""https://docs.google.com/spreadsheets/d/1IwnW3-jjRf74MCLW-6P"&amp;"iFwMUffRQXZwZA7YM609NmRc/edit?usp=share_link"",""ปัตตานี!J581"")+IMPORTRANGE(""https://docs.google.com/spreadsheets/d/1vl4QWbWdFruual5o_wdo6ZSqXZ_it806oja4CctTLKs/edit?usp=share_link"",""พังงา!J581"")+IMPORTRANGE(""https://docs.google.com/spreadsheets/d/1"&amp;"b6QssHQp2FoAPSMKHOy273KNzAomaIKhtdlvuZ_zDNE/edit?usp=share_link"",""พัทลุง!J581"")+IMPORTRANGE(""https://docs.google.com/spreadsheets/d/1o7UZe4_OqlqtLDHrj01Z2YFRSZDf1DMy1n3XViHaxRc/edit?usp=share_link"",""ภูเก็ต!J581"")+IMPORTRANGE(""https://docs.google.c"&amp;"om/spreadsheets/d/1ctPm1vUzcUCPuOj9-eoHUD85PqINFqUB0TjdSWmR5-c/edit?usp=share_link"",""ยะลา!J581"")+IMPORTRANGE(""https://docs.google.com/spreadsheets/d/1YiDIE7Klmt8osgdapRqYWNr7iPGFSsiJqq46S7PYRE0/edit?usp=share_link"",""ระนอง!J581"")+IMPORTRANGE(""https"&amp;"://docs.google.com/spreadsheets/d/16o_4B-V7AWw_6E93bSpXj_XxVv1oVQctk-B6z1dNEWU/edit?usp=share_link"",""สงขลา!J581"")+IMPORTRANGE(""https://docs.google.com/spreadsheets/d/16cywr71Fj4fA5OGRHsZh30ZG2gwJhMAQv69oVBzYHv0/edit?usp=share_link"",""สตูล!J581"")+IMP"&amp;"ORTRANGE(""https://docs.google.com/spreadsheets/d/1vO9Sws6kMtrVtyvrAJptINXjK8TFBoX9xLYOVK_C8bQ/edit?usp=share_link"",""สุราษฎร์ธานี!J581"")"),1711)</f>
        <v>1711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20.25" customHeight="1">
      <c r="A582" s="607"/>
      <c r="B582" s="608"/>
      <c r="C582" s="608"/>
      <c r="D582" s="187" t="s">
        <v>247</v>
      </c>
      <c r="E582" s="618"/>
      <c r="F582" s="618"/>
      <c r="G582" s="175"/>
      <c r="H582" s="182" t="s">
        <v>46</v>
      </c>
      <c r="I582" s="162"/>
      <c r="J582" s="194">
        <f t="shared" ref="J582:J583" ca="1" si="288">J584+J586</f>
        <v>6800.5574999999999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20.25" customHeight="1">
      <c r="A583" s="607"/>
      <c r="B583" s="608"/>
      <c r="C583" s="608"/>
      <c r="D583" s="608"/>
      <c r="E583" s="618"/>
      <c r="F583" s="618"/>
      <c r="G583" s="175"/>
      <c r="H583" s="182" t="s">
        <v>34</v>
      </c>
      <c r="I583" s="162"/>
      <c r="J583" s="194">
        <f t="shared" ca="1" si="288"/>
        <v>841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20.25" customHeight="1">
      <c r="A584" s="607"/>
      <c r="B584" s="608"/>
      <c r="C584" s="608"/>
      <c r="D584" s="608"/>
      <c r="E584" s="187" t="s">
        <v>248</v>
      </c>
      <c r="F584" s="618"/>
      <c r="G584" s="175"/>
      <c r="H584" s="182" t="s">
        <v>46</v>
      </c>
      <c r="I584" s="162"/>
      <c r="J584" s="183">
        <f ca="1">IFERROR(__xludf.DUMMYFUNCTION("IMPORTRANGE(""https://docs.google.com/spreadsheets/d/1kC41EOXpGBFOW658Fs3oD8beYlym0-zO54WY-2Qnp9I/edit?usp=share_link"",""กระบี่!J584"")
+IMPORTRANGE(""https://docs.google.com/spreadsheets/d/1FbzMZY_f3MDiEuK7RpCQKrilJ_kpX0Wm7QBZ1L7EjIU/edit?usp=share_link"&amp;""",""ชุมพร!J584"")+IMPORTRANGE(""https://docs.google.com/spreadsheets/d/1v5sN-00LrXuhBxw4dkh2GrG_z4l5oAqOdJRBCsUyMaM/edit?usp=share_link"",""ตรัง!J584"")+IMPORTRANGE(""https://docs.google.com/spreadsheets/d/1T5rRTzFc79aSIvqnzkZNvwPstq829QYz_xALlO1Z0s8/edi"&amp;"t?usp=share_link"",""นครศรีธรรมราช!J584"")+IMPORTRANGE(""https://docs.google.com/spreadsheets/d/1BeghqumK0IvCmRd2QOy6_afsZq7ZtAGrSnVJy2u7WmY/edit?usp=share_link"",""นราธิวาส!J584"")+IMPORTRANGE(""https://docs.google.com/spreadsheets/d/1IwnW3-jjRf74MCLW-6P"&amp;"iFwMUffRQXZwZA7YM609NmRc/edit?usp=share_link"",""ปัตตานี!J584"")+IMPORTRANGE(""https://docs.google.com/spreadsheets/d/1vl4QWbWdFruual5o_wdo6ZSqXZ_it806oja4CctTLKs/edit?usp=share_link"",""พังงา!J584"")+IMPORTRANGE(""https://docs.google.com/spreadsheets/d/1"&amp;"b6QssHQp2FoAPSMKHOy273KNzAomaIKhtdlvuZ_zDNE/edit?usp=share_link"",""พัทลุง!J584"")+IMPORTRANGE(""https://docs.google.com/spreadsheets/d/1o7UZe4_OqlqtLDHrj01Z2YFRSZDf1DMy1n3XViHaxRc/edit?usp=share_link"",""ภูเก็ต!J584"")+IMPORTRANGE(""https://docs.google.c"&amp;"om/spreadsheets/d/1ctPm1vUzcUCPuOj9-eoHUD85PqINFqUB0TjdSWmR5-c/edit?usp=share_link"",""ยะลา!J584"")+IMPORTRANGE(""https://docs.google.com/spreadsheets/d/1YiDIE7Klmt8osgdapRqYWNr7iPGFSsiJqq46S7PYRE0/edit?usp=share_link"",""ระนอง!J584"")+IMPORTRANGE(""https"&amp;"://docs.google.com/spreadsheets/d/16o_4B-V7AWw_6E93bSpXj_XxVv1oVQctk-B6z1dNEWU/edit?usp=share_link"",""สงขลา!J584"")+IMPORTRANGE(""https://docs.google.com/spreadsheets/d/16cywr71Fj4fA5OGRHsZh30ZG2gwJhMAQv69oVBzYHv0/edit?usp=share_link"",""สตูล!J584"")+IMP"&amp;"ORTRANGE(""https://docs.google.com/spreadsheets/d/1vO9Sws6kMtrVtyvrAJptINXjK8TFBoX9xLYOVK_C8bQ/edit?usp=share_link"",""สุราษฎร์ธานี!J584"")"),6800.5575)</f>
        <v>6800.5574999999999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20.25" customHeight="1">
      <c r="A585" s="607"/>
      <c r="B585" s="608"/>
      <c r="C585" s="608"/>
      <c r="D585" s="608"/>
      <c r="E585" s="618"/>
      <c r="F585" s="618"/>
      <c r="G585" s="175"/>
      <c r="H585" s="182" t="s">
        <v>34</v>
      </c>
      <c r="I585" s="162"/>
      <c r="J585" s="183">
        <f ca="1">IFERROR(__xludf.DUMMYFUNCTION("IMPORTRANGE(""https://docs.google.com/spreadsheets/d/1kC41EOXpGBFOW658Fs3oD8beYlym0-zO54WY-2Qnp9I/edit?usp=share_link"",""กระบี่!J585"")
+IMPORTRANGE(""https://docs.google.com/spreadsheets/d/1FbzMZY_f3MDiEuK7RpCQKrilJ_kpX0Wm7QBZ1L7EjIU/edit?usp=share_link"&amp;""",""ชุมพร!J585"")+IMPORTRANGE(""https://docs.google.com/spreadsheets/d/1v5sN-00LrXuhBxw4dkh2GrG_z4l5oAqOdJRBCsUyMaM/edit?usp=share_link"",""ตรัง!J585"")+IMPORTRANGE(""https://docs.google.com/spreadsheets/d/1T5rRTzFc79aSIvqnzkZNvwPstq829QYz_xALlO1Z0s8/edi"&amp;"t?usp=share_link"",""นครศรีธรรมราช!J585"")+IMPORTRANGE(""https://docs.google.com/spreadsheets/d/1BeghqumK0IvCmRd2QOy6_afsZq7ZtAGrSnVJy2u7WmY/edit?usp=share_link"",""นราธิวาส!J585"")+IMPORTRANGE(""https://docs.google.com/spreadsheets/d/1IwnW3-jjRf74MCLW-6P"&amp;"iFwMUffRQXZwZA7YM609NmRc/edit?usp=share_link"",""ปัตตานี!J585"")+IMPORTRANGE(""https://docs.google.com/spreadsheets/d/1vl4QWbWdFruual5o_wdo6ZSqXZ_it806oja4CctTLKs/edit?usp=share_link"",""พังงา!J585"")+IMPORTRANGE(""https://docs.google.com/spreadsheets/d/1"&amp;"b6QssHQp2FoAPSMKHOy273KNzAomaIKhtdlvuZ_zDNE/edit?usp=share_link"",""พัทลุง!J585"")+IMPORTRANGE(""https://docs.google.com/spreadsheets/d/1o7UZe4_OqlqtLDHrj01Z2YFRSZDf1DMy1n3XViHaxRc/edit?usp=share_link"",""ภูเก็ต!J585"")+IMPORTRANGE(""https://docs.google.c"&amp;"om/spreadsheets/d/1ctPm1vUzcUCPuOj9-eoHUD85PqINFqUB0TjdSWmR5-c/edit?usp=share_link"",""ยะลา!J585"")+IMPORTRANGE(""https://docs.google.com/spreadsheets/d/1YiDIE7Klmt8osgdapRqYWNr7iPGFSsiJqq46S7PYRE0/edit?usp=share_link"",""ระนอง!J585"")+IMPORTRANGE(""https"&amp;"://docs.google.com/spreadsheets/d/16o_4B-V7AWw_6E93bSpXj_XxVv1oVQctk-B6z1dNEWU/edit?usp=share_link"",""สงขลา!J585"")+IMPORTRANGE(""https://docs.google.com/spreadsheets/d/16cywr71Fj4fA5OGRHsZh30ZG2gwJhMAQv69oVBzYHv0/edit?usp=share_link"",""สตูล!J585"")+IMP"&amp;"ORTRANGE(""https://docs.google.com/spreadsheets/d/1vO9Sws6kMtrVtyvrAJptINXjK8TFBoX9xLYOVK_C8bQ/edit?usp=share_link"",""สุราษฎร์ธานี!J585"")"),841)</f>
        <v>841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20.25" customHeight="1">
      <c r="A586" s="607"/>
      <c r="B586" s="608"/>
      <c r="C586" s="608"/>
      <c r="D586" s="608"/>
      <c r="E586" s="187" t="s">
        <v>249</v>
      </c>
      <c r="F586" s="618"/>
      <c r="G586" s="175"/>
      <c r="H586" s="182" t="s">
        <v>46</v>
      </c>
      <c r="I586" s="162"/>
      <c r="J586" s="183">
        <f ca="1">IFERROR(__xludf.DUMMYFUNCTION("IMPORTRANGE(""https://docs.google.com/spreadsheets/d/1kC41EOXpGBFOW658Fs3oD8beYlym0-zO54WY-2Qnp9I/edit?usp=share_link"",""กระบี่!J586"")
+IMPORTRANGE(""https://docs.google.com/spreadsheets/d/1FbzMZY_f3MDiEuK7RpCQKrilJ_kpX0Wm7QBZ1L7EjIU/edit?usp=share_link"&amp;""",""ชุมพร!J586"")+IMPORTRANGE(""https://docs.google.com/spreadsheets/d/1v5sN-00LrXuhBxw4dkh2GrG_z4l5oAqOdJRBCsUyMaM/edit?usp=share_link"",""ตรัง!J586"")+IMPORTRANGE(""https://docs.google.com/spreadsheets/d/1T5rRTzFc79aSIvqnzkZNvwPstq829QYz_xALlO1Z0s8/edi"&amp;"t?usp=share_link"",""นครศรีธรรมราช!J586"")+IMPORTRANGE(""https://docs.google.com/spreadsheets/d/1BeghqumK0IvCmRd2QOy6_afsZq7ZtAGrSnVJy2u7WmY/edit?usp=share_link"",""นราธิวาส!J586"")+IMPORTRANGE(""https://docs.google.com/spreadsheets/d/1IwnW3-jjRf74MCLW-6P"&amp;"iFwMUffRQXZwZA7YM609NmRc/edit?usp=share_link"",""ปัตตานี!J586"")+IMPORTRANGE(""https://docs.google.com/spreadsheets/d/1vl4QWbWdFruual5o_wdo6ZSqXZ_it806oja4CctTLKs/edit?usp=share_link"",""พังงา!J586"")+IMPORTRANGE(""https://docs.google.com/spreadsheets/d/1"&amp;"b6QssHQp2FoAPSMKHOy273KNzAomaIKhtdlvuZ_zDNE/edit?usp=share_link"",""พัทลุง!J586"")+IMPORTRANGE(""https://docs.google.com/spreadsheets/d/1o7UZe4_OqlqtLDHrj01Z2YFRSZDf1DMy1n3XViHaxRc/edit?usp=share_link"",""ภูเก็ต!J586"")+IMPORTRANGE(""https://docs.google.c"&amp;"om/spreadsheets/d/1ctPm1vUzcUCPuOj9-eoHUD85PqINFqUB0TjdSWmR5-c/edit?usp=share_link"",""ยะลา!J586"")+IMPORTRANGE(""https://docs.google.com/spreadsheets/d/1YiDIE7Klmt8osgdapRqYWNr7iPGFSsiJqq46S7PYRE0/edit?usp=share_link"",""ระนอง!J586"")+IMPORTRANGE(""https"&amp;"://docs.google.com/spreadsheets/d/16o_4B-V7AWw_6E93bSpXj_XxVv1oVQctk-B6z1dNEWU/edit?usp=share_link"",""สงขลา!J586"")+IMPORTRANGE(""https://docs.google.com/spreadsheets/d/16cywr71Fj4fA5OGRHsZh30ZG2gwJhMAQv69oVBzYHv0/edit?usp=share_link"",""สตูล!J586"")+IMP"&amp;"ORTRANGE(""https://docs.google.com/spreadsheets/d/1vO9Sws6kMtrVtyvrAJptINXjK8TFBoX9xLYOVK_C8bQ/edit?usp=share_link"",""สุราษฎร์ธานี!J586"")"),0)</f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20.25" customHeight="1">
      <c r="A587" s="607"/>
      <c r="B587" s="608"/>
      <c r="C587" s="608"/>
      <c r="D587" s="608"/>
      <c r="E587" s="608"/>
      <c r="F587" s="618"/>
      <c r="G587" s="175"/>
      <c r="H587" s="182" t="s">
        <v>34</v>
      </c>
      <c r="I587" s="162"/>
      <c r="J587" s="183">
        <f ca="1">IFERROR(__xludf.DUMMYFUNCTION("IMPORTRANGE(""https://docs.google.com/spreadsheets/d/1kC41EOXpGBFOW658Fs3oD8beYlym0-zO54WY-2Qnp9I/edit?usp=share_link"",""กระบี่!J587"")
+IMPORTRANGE(""https://docs.google.com/spreadsheets/d/1FbzMZY_f3MDiEuK7RpCQKrilJ_kpX0Wm7QBZ1L7EjIU/edit?usp=share_link"&amp;""",""ชุมพร!J587"")+IMPORTRANGE(""https://docs.google.com/spreadsheets/d/1v5sN-00LrXuhBxw4dkh2GrG_z4l5oAqOdJRBCsUyMaM/edit?usp=share_link"",""ตรัง!J587"")+IMPORTRANGE(""https://docs.google.com/spreadsheets/d/1T5rRTzFc79aSIvqnzkZNvwPstq829QYz_xALlO1Z0s8/edi"&amp;"t?usp=share_link"",""นครศรีธรรมราช!J587"")+IMPORTRANGE(""https://docs.google.com/spreadsheets/d/1BeghqumK0IvCmRd2QOy6_afsZq7ZtAGrSnVJy2u7WmY/edit?usp=share_link"",""นราธิวาส!J587"")+IMPORTRANGE(""https://docs.google.com/spreadsheets/d/1IwnW3-jjRf74MCLW-6P"&amp;"iFwMUffRQXZwZA7YM609NmRc/edit?usp=share_link"",""ปัตตานี!J587"")+IMPORTRANGE(""https://docs.google.com/spreadsheets/d/1vl4QWbWdFruual5o_wdo6ZSqXZ_it806oja4CctTLKs/edit?usp=share_link"",""พังงา!J587"")+IMPORTRANGE(""https://docs.google.com/spreadsheets/d/1"&amp;"b6QssHQp2FoAPSMKHOy273KNzAomaIKhtdlvuZ_zDNE/edit?usp=share_link"",""พัทลุง!J587"")+IMPORTRANGE(""https://docs.google.com/spreadsheets/d/1o7UZe4_OqlqtLDHrj01Z2YFRSZDf1DMy1n3XViHaxRc/edit?usp=share_link"",""ภูเก็ต!J587"")+IMPORTRANGE(""https://docs.google.c"&amp;"om/spreadsheets/d/1ctPm1vUzcUCPuOj9-eoHUD85PqINFqUB0TjdSWmR5-c/edit?usp=share_link"",""ยะลา!J587"")+IMPORTRANGE(""https://docs.google.com/spreadsheets/d/1YiDIE7Klmt8osgdapRqYWNr7iPGFSsiJqq46S7PYRE0/edit?usp=share_link"",""ระนอง!J587"")+IMPORTRANGE(""https"&amp;"://docs.google.com/spreadsheets/d/16o_4B-V7AWw_6E93bSpXj_XxVv1oVQctk-B6z1dNEWU/edit?usp=share_link"",""สงขลา!J587"")+IMPORTRANGE(""https://docs.google.com/spreadsheets/d/16cywr71Fj4fA5OGRHsZh30ZG2gwJhMAQv69oVBzYHv0/edit?usp=share_link"",""สตูล!J587"")+IMP"&amp;"ORTRANGE(""https://docs.google.com/spreadsheets/d/1vO9Sws6kMtrVtyvrAJptINXjK8TFBoX9xLYOVK_C8bQ/edit?usp=share_link"",""สุราษฎร์ธานี!J587"")"),0)</f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20.25" customHeight="1">
      <c r="A588" s="607"/>
      <c r="B588" s="608"/>
      <c r="C588" s="608"/>
      <c r="D588" s="187" t="s">
        <v>250</v>
      </c>
      <c r="E588" s="618"/>
      <c r="F588" s="618"/>
      <c r="G588" s="175"/>
      <c r="H588" s="182" t="s">
        <v>46</v>
      </c>
      <c r="I588" s="162"/>
      <c r="J588" s="183">
        <f ca="1">IFERROR(__xludf.DUMMYFUNCTION("IMPORTRANGE(""https://docs.google.com/spreadsheets/d/1kC41EOXpGBFOW658Fs3oD8beYlym0-zO54WY-2Qnp9I/edit?usp=share_link"",""กระบี่!J588"")
+IMPORTRANGE(""https://docs.google.com/spreadsheets/d/1FbzMZY_f3MDiEuK7RpCQKrilJ_kpX0Wm7QBZ1L7EjIU/edit?usp=share_link"&amp;""",""ชุมพร!J588"")+IMPORTRANGE(""https://docs.google.com/spreadsheets/d/1v5sN-00LrXuhBxw4dkh2GrG_z4l5oAqOdJRBCsUyMaM/edit?usp=share_link"",""ตรัง!J588"")+IMPORTRANGE(""https://docs.google.com/spreadsheets/d/1T5rRTzFc79aSIvqnzkZNvwPstq829QYz_xALlO1Z0s8/edi"&amp;"t?usp=share_link"",""นครศรีธรรมราช!J588"")+IMPORTRANGE(""https://docs.google.com/spreadsheets/d/1BeghqumK0IvCmRd2QOy6_afsZq7ZtAGrSnVJy2u7WmY/edit?usp=share_link"",""นราธิวาส!J588"")+IMPORTRANGE(""https://docs.google.com/spreadsheets/d/1IwnW3-jjRf74MCLW-6P"&amp;"iFwMUffRQXZwZA7YM609NmRc/edit?usp=share_link"",""ปัตตานี!J588"")+IMPORTRANGE(""https://docs.google.com/spreadsheets/d/1vl4QWbWdFruual5o_wdo6ZSqXZ_it806oja4CctTLKs/edit?usp=share_link"",""พังงา!J588"")+IMPORTRANGE(""https://docs.google.com/spreadsheets/d/1"&amp;"b6QssHQp2FoAPSMKHOy273KNzAomaIKhtdlvuZ_zDNE/edit?usp=share_link"",""พัทลุง!J588"")+IMPORTRANGE(""https://docs.google.com/spreadsheets/d/1o7UZe4_OqlqtLDHrj01Z2YFRSZDf1DMy1n3XViHaxRc/edit?usp=share_link"",""ภูเก็ต!J588"")+IMPORTRANGE(""https://docs.google.c"&amp;"om/spreadsheets/d/1ctPm1vUzcUCPuOj9-eoHUD85PqINFqUB0TjdSWmR5-c/edit?usp=share_link"",""ยะลา!J588"")+IMPORTRANGE(""https://docs.google.com/spreadsheets/d/1YiDIE7Klmt8osgdapRqYWNr7iPGFSsiJqq46S7PYRE0/edit?usp=share_link"",""ระนอง!J588"")+IMPORTRANGE(""https"&amp;"://docs.google.com/spreadsheets/d/16o_4B-V7AWw_6E93bSpXj_XxVv1oVQctk-B6z1dNEWU/edit?usp=share_link"",""สงขลา!J588"")+IMPORTRANGE(""https://docs.google.com/spreadsheets/d/16cywr71Fj4fA5OGRHsZh30ZG2gwJhMAQv69oVBzYHv0/edit?usp=share_link"",""สตูล!J588"")+IMP"&amp;"ORTRANGE(""https://docs.google.com/spreadsheets/d/1vO9Sws6kMtrVtyvrAJptINXjK8TFBoX9xLYOVK_C8bQ/edit?usp=share_link"",""สุราษฎร์ธานี!J588"")"),189)</f>
        <v>189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20.25" customHeight="1">
      <c r="A589" s="607"/>
      <c r="B589" s="608"/>
      <c r="C589" s="608"/>
      <c r="D589" s="608"/>
      <c r="E589" s="608"/>
      <c r="F589" s="618"/>
      <c r="G589" s="175"/>
      <c r="H589" s="182" t="s">
        <v>34</v>
      </c>
      <c r="I589" s="162"/>
      <c r="J589" s="183">
        <f ca="1">IFERROR(__xludf.DUMMYFUNCTION("IMPORTRANGE(""https://docs.google.com/spreadsheets/d/1kC41EOXpGBFOW658Fs3oD8beYlym0-zO54WY-2Qnp9I/edit?usp=share_link"",""กระบี่!J589"")
+IMPORTRANGE(""https://docs.google.com/spreadsheets/d/1FbzMZY_f3MDiEuK7RpCQKrilJ_kpX0Wm7QBZ1L7EjIU/edit?usp=share_link"&amp;""",""ชุมพร!J589"")+IMPORTRANGE(""https://docs.google.com/spreadsheets/d/1v5sN-00LrXuhBxw4dkh2GrG_z4l5oAqOdJRBCsUyMaM/edit?usp=share_link"",""ตรัง!J589"")+IMPORTRANGE(""https://docs.google.com/spreadsheets/d/1T5rRTzFc79aSIvqnzkZNvwPstq829QYz_xALlO1Z0s8/edi"&amp;"t?usp=share_link"",""นครศรีธรรมราช!J589"")+IMPORTRANGE(""https://docs.google.com/spreadsheets/d/1BeghqumK0IvCmRd2QOy6_afsZq7ZtAGrSnVJy2u7WmY/edit?usp=share_link"",""นราธิวาส!J589"")+IMPORTRANGE(""https://docs.google.com/spreadsheets/d/1IwnW3-jjRf74MCLW-6P"&amp;"iFwMUffRQXZwZA7YM609NmRc/edit?usp=share_link"",""ปัตตานี!J589"")+IMPORTRANGE(""https://docs.google.com/spreadsheets/d/1vl4QWbWdFruual5o_wdo6ZSqXZ_it806oja4CctTLKs/edit?usp=share_link"",""พังงา!J589"")+IMPORTRANGE(""https://docs.google.com/spreadsheets/d/1"&amp;"b6QssHQp2FoAPSMKHOy273KNzAomaIKhtdlvuZ_zDNE/edit?usp=share_link"",""พัทลุง!J589"")+IMPORTRANGE(""https://docs.google.com/spreadsheets/d/1o7UZe4_OqlqtLDHrj01Z2YFRSZDf1DMy1n3XViHaxRc/edit?usp=share_link"",""ภูเก็ต!J589"")+IMPORTRANGE(""https://docs.google.c"&amp;"om/spreadsheets/d/1ctPm1vUzcUCPuOj9-eoHUD85PqINFqUB0TjdSWmR5-c/edit?usp=share_link"",""ยะลา!J589"")+IMPORTRANGE(""https://docs.google.com/spreadsheets/d/1YiDIE7Klmt8osgdapRqYWNr7iPGFSsiJqq46S7PYRE0/edit?usp=share_link"",""ระนอง!J589"")+IMPORTRANGE(""https"&amp;"://docs.google.com/spreadsheets/d/16o_4B-V7AWw_6E93bSpXj_XxVv1oVQctk-B6z1dNEWU/edit?usp=share_link"",""สงขลา!J589"")+IMPORTRANGE(""https://docs.google.com/spreadsheets/d/16cywr71Fj4fA5OGRHsZh30ZG2gwJhMAQv69oVBzYHv0/edit?usp=share_link"",""สตูล!J589"")+IMP"&amp;"ORTRANGE(""https://docs.google.com/spreadsheets/d/1vO9Sws6kMtrVtyvrAJptINXjK8TFBoX9xLYOVK_C8bQ/edit?usp=share_link"",""สุราษฎร์ธานี!J589"")"),21)</f>
        <v>21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20.25" customHeight="1">
      <c r="A590" s="607"/>
      <c r="B590" s="608"/>
      <c r="C590" s="608"/>
      <c r="D590" s="187" t="s">
        <v>251</v>
      </c>
      <c r="E590" s="618"/>
      <c r="F590" s="618"/>
      <c r="G590" s="175"/>
      <c r="H590" s="182" t="s">
        <v>46</v>
      </c>
      <c r="I590" s="162"/>
      <c r="J590" s="183">
        <f ca="1">IFERROR(__xludf.DUMMYFUNCTION("IMPORTRANGE(""https://docs.google.com/spreadsheets/d/1kC41EOXpGBFOW658Fs3oD8beYlym0-zO54WY-2Qnp9I/edit?usp=share_link"",""กระบี่!J590"")
+IMPORTRANGE(""https://docs.google.com/spreadsheets/d/1FbzMZY_f3MDiEuK7RpCQKrilJ_kpX0Wm7QBZ1L7EjIU/edit?usp=share_link"&amp;""",""ชุมพร!J590"")+IMPORTRANGE(""https://docs.google.com/spreadsheets/d/1v5sN-00LrXuhBxw4dkh2GrG_z4l5oAqOdJRBCsUyMaM/edit?usp=share_link"",""ตรัง!J590"")+IMPORTRANGE(""https://docs.google.com/spreadsheets/d/1T5rRTzFc79aSIvqnzkZNvwPstq829QYz_xALlO1Z0s8/edi"&amp;"t?usp=share_link"",""นครศรีธรรมราช!J590"")+IMPORTRANGE(""https://docs.google.com/spreadsheets/d/1BeghqumK0IvCmRd2QOy6_afsZq7ZtAGrSnVJy2u7WmY/edit?usp=share_link"",""นราธิวาส!J590"")+IMPORTRANGE(""https://docs.google.com/spreadsheets/d/1IwnW3-jjRf74MCLW-6P"&amp;"iFwMUffRQXZwZA7YM609NmRc/edit?usp=share_link"",""ปัตตานี!J590"")+IMPORTRANGE(""https://docs.google.com/spreadsheets/d/1vl4QWbWdFruual5o_wdo6ZSqXZ_it806oja4CctTLKs/edit?usp=share_link"",""พังงา!J590"")+IMPORTRANGE(""https://docs.google.com/spreadsheets/d/1"&amp;"b6QssHQp2FoAPSMKHOy273KNzAomaIKhtdlvuZ_zDNE/edit?usp=share_link"",""พัทลุง!J590"")+IMPORTRANGE(""https://docs.google.com/spreadsheets/d/1o7UZe4_OqlqtLDHrj01Z2YFRSZDf1DMy1n3XViHaxRc/edit?usp=share_link"",""ภูเก็ต!J590"")+IMPORTRANGE(""https://docs.google.c"&amp;"om/spreadsheets/d/1ctPm1vUzcUCPuOj9-eoHUD85PqINFqUB0TjdSWmR5-c/edit?usp=share_link"",""ยะลา!J590"")+IMPORTRANGE(""https://docs.google.com/spreadsheets/d/1YiDIE7Klmt8osgdapRqYWNr7iPGFSsiJqq46S7PYRE0/edit?usp=share_link"",""ระนอง!J590"")+IMPORTRANGE(""https"&amp;"://docs.google.com/spreadsheets/d/16o_4B-V7AWw_6E93bSpXj_XxVv1oVQctk-B6z1dNEWU/edit?usp=share_link"",""สงขลา!J590"")+IMPORTRANGE(""https://docs.google.com/spreadsheets/d/16cywr71Fj4fA5OGRHsZh30ZG2gwJhMAQv69oVBzYHv0/edit?usp=share_link"",""สตูล!J590"")+IMP"&amp;"ORTRANGE(""https://docs.google.com/spreadsheets/d/1vO9Sws6kMtrVtyvrAJptINXjK8TFBoX9xLYOVK_C8bQ/edit?usp=share_link"",""สุราษฎร์ธานี!J590"")"),0)</f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20.25" customHeight="1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f ca="1">IFERROR(__xludf.DUMMYFUNCTION("IMPORTRANGE(""https://docs.google.com/spreadsheets/d/1kC41EOXpGBFOW658Fs3oD8beYlym0-zO54WY-2Qnp9I/edit?usp=share_link"",""กระบี่!J591"")
+IMPORTRANGE(""https://docs.google.com/spreadsheets/d/1FbzMZY_f3MDiEuK7RpCQKrilJ_kpX0Wm7QBZ1L7EjIU/edit?usp=share_link"&amp;""",""ชุมพร!J591"")+IMPORTRANGE(""https://docs.google.com/spreadsheets/d/1v5sN-00LrXuhBxw4dkh2GrG_z4l5oAqOdJRBCsUyMaM/edit?usp=share_link"",""ตรัง!J591"")+IMPORTRANGE(""https://docs.google.com/spreadsheets/d/1T5rRTzFc79aSIvqnzkZNvwPstq829QYz_xALlO1Z0s8/edi"&amp;"t?usp=share_link"",""นครศรีธรรมราช!J591"")+IMPORTRANGE(""https://docs.google.com/spreadsheets/d/1BeghqumK0IvCmRd2QOy6_afsZq7ZtAGrSnVJy2u7WmY/edit?usp=share_link"",""นราธิวาส!J591"")+IMPORTRANGE(""https://docs.google.com/spreadsheets/d/1IwnW3-jjRf74MCLW-6P"&amp;"iFwMUffRQXZwZA7YM609NmRc/edit?usp=share_link"",""ปัตตานี!J591"")+IMPORTRANGE(""https://docs.google.com/spreadsheets/d/1vl4QWbWdFruual5o_wdo6ZSqXZ_it806oja4CctTLKs/edit?usp=share_link"",""พังงา!J591"")+IMPORTRANGE(""https://docs.google.com/spreadsheets/d/1"&amp;"b6QssHQp2FoAPSMKHOy273KNzAomaIKhtdlvuZ_zDNE/edit?usp=share_link"",""พัทลุง!J591"")+IMPORTRANGE(""https://docs.google.com/spreadsheets/d/1o7UZe4_OqlqtLDHrj01Z2YFRSZDf1DMy1n3XViHaxRc/edit?usp=share_link"",""ภูเก็ต!J591"")+IMPORTRANGE(""https://docs.google.c"&amp;"om/spreadsheets/d/1ctPm1vUzcUCPuOj9-eoHUD85PqINFqUB0TjdSWmR5-c/edit?usp=share_link"",""ยะลา!J591"")+IMPORTRANGE(""https://docs.google.com/spreadsheets/d/1YiDIE7Klmt8osgdapRqYWNr7iPGFSsiJqq46S7PYRE0/edit?usp=share_link"",""ระนอง!J591"")+IMPORTRANGE(""https"&amp;"://docs.google.com/spreadsheets/d/16o_4B-V7AWw_6E93bSpXj_XxVv1oVQctk-B6z1dNEWU/edit?usp=share_link"",""สงขลา!J591"")+IMPORTRANGE(""https://docs.google.com/spreadsheets/d/16cywr71Fj4fA5OGRHsZh30ZG2gwJhMAQv69oVBzYHv0/edit?usp=share_link"",""สตูล!J591"")+IMP"&amp;"ORTRANGE(""https://docs.google.com/spreadsheets/d/1vO9Sws6kMtrVtyvrAJptINXjK8TFBoX9xLYOVK_C8bQ/edit?usp=share_link"",""สุราษฎร์ธานี!J591"")"),0)</f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20.25" customHeight="1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89">I593</f>
        <v>44574.529999999897</v>
      </c>
      <c r="J592" s="675">
        <f t="shared" ca="1" si="289"/>
        <v>15377.234999999999</v>
      </c>
      <c r="K592" s="676">
        <f t="shared" ref="K592:K594" ca="1" si="290">IF(I592&gt;0,J592*100/I592,0)</f>
        <v>34.497806258417157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20.25" customHeight="1">
      <c r="A593" s="607"/>
      <c r="B593" s="608"/>
      <c r="C593" s="621" t="s">
        <v>253</v>
      </c>
      <c r="D593" s="608"/>
      <c r="E593" s="608"/>
      <c r="F593" s="618"/>
      <c r="G593" s="175"/>
      <c r="H593" s="192" t="s">
        <v>46</v>
      </c>
      <c r="I593" s="703">
        <f ca="1">IFERROR(__xludf.DUMMYFUNCTION("IMPORTRANGE(""https://docs.google.com/spreadsheets/d/1kC41EOXpGBFOW658Fs3oD8beYlym0-zO54WY-2Qnp9I/edit?usp=share_link"",""กระบี่!I593"")
+IMPORTRANGE(""https://docs.google.com/spreadsheets/d/1FbzMZY_f3MDiEuK7RpCQKrilJ_kpX0Wm7QBZ1L7EjIU/edit?usp=share_link"&amp;""",""ชุมพร!I593"")+IMPORTRANGE(""https://docs.google.com/spreadsheets/d/1v5sN-00LrXuhBxw4dkh2GrG_z4l5oAqOdJRBCsUyMaM/edit?usp=share_link"",""ตรัง!I593"")+IMPORTRANGE(""https://docs.google.com/spreadsheets/d/1T5rRTzFc79aSIvqnzkZNvwPstq829QYz_xALlO1Z0s8/edi"&amp;"t?usp=share_link"",""นครศรีธรรมราช!I593"")+IMPORTRANGE(""https://docs.google.com/spreadsheets/d/1BeghqumK0IvCmRd2QOy6_afsZq7ZtAGrSnVJy2u7WmY/edit?usp=share_link"",""นราธิวาส!I593"")+IMPORTRANGE(""https://docs.google.com/spreadsheets/d/1IwnW3-jjRf74MCLW-6P"&amp;"iFwMUffRQXZwZA7YM609NmRc/edit?usp=share_link"",""ปัตตานี!I593"")+IMPORTRANGE(""https://docs.google.com/spreadsheets/d/1vl4QWbWdFruual5o_wdo6ZSqXZ_it806oja4CctTLKs/edit?usp=share_link"",""พังงา!I593"")+IMPORTRANGE(""https://docs.google.com/spreadsheets/d/1"&amp;"b6QssHQp2FoAPSMKHOy273KNzAomaIKhtdlvuZ_zDNE/edit?usp=share_link"",""พัทลุง!I593"")+IMPORTRANGE(""https://docs.google.com/spreadsheets/d/1o7UZe4_OqlqtLDHrj01Z2YFRSZDf1DMy1n3XViHaxRc/edit?usp=share_link"",""ภูเก็ต!I593"")+IMPORTRANGE(""https://docs.google.c"&amp;"om/spreadsheets/d/1ctPm1vUzcUCPuOj9-eoHUD85PqINFqUB0TjdSWmR5-c/edit?usp=share_link"",""ยะลา!I593"")+IMPORTRANGE(""https://docs.google.com/spreadsheets/d/1YiDIE7Klmt8osgdapRqYWNr7iPGFSsiJqq46S7PYRE0/edit?usp=share_link"",""ระนอง!I593"")+IMPORTRANGE(""https"&amp;"://docs.google.com/spreadsheets/d/16o_4B-V7AWw_6E93bSpXj_XxVv1oVQctk-B6z1dNEWU/edit?usp=share_link"",""สงขลา!I593"")+IMPORTRANGE(""https://docs.google.com/spreadsheets/d/16cywr71Fj4fA5OGRHsZh30ZG2gwJhMAQv69oVBzYHv0/edit?usp=share_link"",""สตูล!I593"")+IMP"&amp;"ORTRANGE(""https://docs.google.com/spreadsheets/d/1vO9Sws6kMtrVtyvrAJptINXjK8TFBoX9xLYOVK_C8bQ/edit?usp=share_link"",""สุราษฎร์ธานี!I593"")"),44574.5299999999)</f>
        <v>44574.529999999897</v>
      </c>
      <c r="J593" s="193">
        <f t="shared" ref="J593:J594" ca="1" si="291">J595+J603+J609</f>
        <v>15377.234999999999</v>
      </c>
      <c r="K593" s="412">
        <f t="shared" ca="1" si="290"/>
        <v>34.497806258417157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20.25" customHeight="1">
      <c r="A594" s="607"/>
      <c r="B594" s="608"/>
      <c r="C594" s="608"/>
      <c r="D594" s="608"/>
      <c r="E594" s="618"/>
      <c r="F594" s="618"/>
      <c r="G594" s="175"/>
      <c r="H594" s="192" t="s">
        <v>34</v>
      </c>
      <c r="I594" s="193">
        <f ca="1">IFERROR(__xludf.DUMMYFUNCTION("IMPORTRANGE(""https://docs.google.com/spreadsheets/d/1kC41EOXpGBFOW658Fs3oD8beYlym0-zO54WY-2Qnp9I/edit?usp=share_link"",""กระบี่!I594"")
+IMPORTRANGE(""https://docs.google.com/spreadsheets/d/1FbzMZY_f3MDiEuK7RpCQKrilJ_kpX0Wm7QBZ1L7EjIU/edit?usp=share_link"&amp;""",""ชุมพร!I594"")+IMPORTRANGE(""https://docs.google.com/spreadsheets/d/1v5sN-00LrXuhBxw4dkh2GrG_z4l5oAqOdJRBCsUyMaM/edit?usp=share_link"",""ตรัง!I594"")+IMPORTRANGE(""https://docs.google.com/spreadsheets/d/1T5rRTzFc79aSIvqnzkZNvwPstq829QYz_xALlO1Z0s8/edi"&amp;"t?usp=share_link"",""นครศรีธรรมราช!I594"")+IMPORTRANGE(""https://docs.google.com/spreadsheets/d/1BeghqumK0IvCmRd2QOy6_afsZq7ZtAGrSnVJy2u7WmY/edit?usp=share_link"",""นราธิวาส!I594"")+IMPORTRANGE(""https://docs.google.com/spreadsheets/d/1IwnW3-jjRf74MCLW-6P"&amp;"iFwMUffRQXZwZA7YM609NmRc/edit?usp=share_link"",""ปัตตานี!I594"")+IMPORTRANGE(""https://docs.google.com/spreadsheets/d/1vl4QWbWdFruual5o_wdo6ZSqXZ_it806oja4CctTLKs/edit?usp=share_link"",""พังงา!I594"")+IMPORTRANGE(""https://docs.google.com/spreadsheets/d/1"&amp;"b6QssHQp2FoAPSMKHOy273KNzAomaIKhtdlvuZ_zDNE/edit?usp=share_link"",""พัทลุง!I594"")+IMPORTRANGE(""https://docs.google.com/spreadsheets/d/1o7UZe4_OqlqtLDHrj01Z2YFRSZDf1DMy1n3XViHaxRc/edit?usp=share_link"",""ภูเก็ต!I594"")+IMPORTRANGE(""https://docs.google.c"&amp;"om/spreadsheets/d/1ctPm1vUzcUCPuOj9-eoHUD85PqINFqUB0TjdSWmR5-c/edit?usp=share_link"",""ยะลา!I594"")+IMPORTRANGE(""https://docs.google.com/spreadsheets/d/1YiDIE7Klmt8osgdapRqYWNr7iPGFSsiJqq46S7PYRE0/edit?usp=share_link"",""ระนอง!I594"")+IMPORTRANGE(""https"&amp;"://docs.google.com/spreadsheets/d/16o_4B-V7AWw_6E93bSpXj_XxVv1oVQctk-B6z1dNEWU/edit?usp=share_link"",""สงขลา!I594"")+IMPORTRANGE(""https://docs.google.com/spreadsheets/d/16cywr71Fj4fA5OGRHsZh30ZG2gwJhMAQv69oVBzYHv0/edit?usp=share_link"",""สตูล!I594"")+IMP"&amp;"ORTRANGE(""https://docs.google.com/spreadsheets/d/1vO9Sws6kMtrVtyvrAJptINXjK8TFBoX9xLYOVK_C8bQ/edit?usp=share_link"",""สุราษฎร์ธานี!I594"")"),4230)</f>
        <v>4230</v>
      </c>
      <c r="J594" s="193">
        <f t="shared" ca="1" si="291"/>
        <v>1603</v>
      </c>
      <c r="K594" s="412">
        <f t="shared" ca="1" si="290"/>
        <v>37.895981087470446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20.25" customHeight="1">
      <c r="A595" s="607"/>
      <c r="B595" s="608"/>
      <c r="C595" s="617" t="s">
        <v>254</v>
      </c>
      <c r="D595" s="608"/>
      <c r="E595" s="608"/>
      <c r="F595" s="618"/>
      <c r="G595" s="175"/>
      <c r="H595" s="182" t="s">
        <v>46</v>
      </c>
      <c r="I595" s="162"/>
      <c r="J595" s="162">
        <f t="shared" ref="J595:J596" ca="1" si="292">J597+J599</f>
        <v>9459.9599999999991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20.25" customHeight="1">
      <c r="A596" s="607"/>
      <c r="B596" s="608"/>
      <c r="C596" s="608"/>
      <c r="D596" s="608"/>
      <c r="E596" s="618"/>
      <c r="F596" s="618"/>
      <c r="G596" s="175"/>
      <c r="H596" s="182" t="s">
        <v>34</v>
      </c>
      <c r="I596" s="162"/>
      <c r="J596" s="162">
        <f t="shared" ca="1" si="292"/>
        <v>975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20.25" customHeight="1">
      <c r="A597" s="607"/>
      <c r="B597" s="608"/>
      <c r="C597" s="608"/>
      <c r="D597" s="263" t="s">
        <v>255</v>
      </c>
      <c r="E597" s="618"/>
      <c r="F597" s="618"/>
      <c r="G597" s="175"/>
      <c r="H597" s="182" t="s">
        <v>46</v>
      </c>
      <c r="I597" s="162"/>
      <c r="J597" s="183">
        <f ca="1">IFERROR(__xludf.DUMMYFUNCTION("IMPORTRANGE(""https://docs.google.com/spreadsheets/d/1kC41EOXpGBFOW658Fs3oD8beYlym0-zO54WY-2Qnp9I/edit?usp=share_link"",""กระบี่!J597"")
+IMPORTRANGE(""https://docs.google.com/spreadsheets/d/1FbzMZY_f3MDiEuK7RpCQKrilJ_kpX0Wm7QBZ1L7EjIU/edit?usp=share_link"&amp;""",""ชุมพร!J597"")+IMPORTRANGE(""https://docs.google.com/spreadsheets/d/1v5sN-00LrXuhBxw4dkh2GrG_z4l5oAqOdJRBCsUyMaM/edit?usp=share_link"",""ตรัง!J597"")+IMPORTRANGE(""https://docs.google.com/spreadsheets/d/1T5rRTzFc79aSIvqnzkZNvwPstq829QYz_xALlO1Z0s8/edi"&amp;"t?usp=share_link"",""นครศรีธรรมราช!J597"")+IMPORTRANGE(""https://docs.google.com/spreadsheets/d/1BeghqumK0IvCmRd2QOy6_afsZq7ZtAGrSnVJy2u7WmY/edit?usp=share_link"",""นราธิวาส!J597"")+IMPORTRANGE(""https://docs.google.com/spreadsheets/d/1IwnW3-jjRf74MCLW-6P"&amp;"iFwMUffRQXZwZA7YM609NmRc/edit?usp=share_link"",""ปัตตานี!J597"")+IMPORTRANGE(""https://docs.google.com/spreadsheets/d/1vl4QWbWdFruual5o_wdo6ZSqXZ_it806oja4CctTLKs/edit?usp=share_link"",""พังงา!J597"")+IMPORTRANGE(""https://docs.google.com/spreadsheets/d/1"&amp;"b6QssHQp2FoAPSMKHOy273KNzAomaIKhtdlvuZ_zDNE/edit?usp=share_link"",""พัทลุง!J597"")+IMPORTRANGE(""https://docs.google.com/spreadsheets/d/1o7UZe4_OqlqtLDHrj01Z2YFRSZDf1DMy1n3XViHaxRc/edit?usp=share_link"",""ภูเก็ต!J597"")+IMPORTRANGE(""https://docs.google.c"&amp;"om/spreadsheets/d/1ctPm1vUzcUCPuOj9-eoHUD85PqINFqUB0TjdSWmR5-c/edit?usp=share_link"",""ยะลา!J597"")+IMPORTRANGE(""https://docs.google.com/spreadsheets/d/1YiDIE7Klmt8osgdapRqYWNr7iPGFSsiJqq46S7PYRE0/edit?usp=share_link"",""ระนอง!J597"")+IMPORTRANGE(""https"&amp;"://docs.google.com/spreadsheets/d/16o_4B-V7AWw_6E93bSpXj_XxVv1oVQctk-B6z1dNEWU/edit?usp=share_link"",""สงขลา!J597"")+IMPORTRANGE(""https://docs.google.com/spreadsheets/d/16cywr71Fj4fA5OGRHsZh30ZG2gwJhMAQv69oVBzYHv0/edit?usp=share_link"",""สตูล!J597"")+IMP"&amp;"ORTRANGE(""https://docs.google.com/spreadsheets/d/1vO9Sws6kMtrVtyvrAJptINXjK8TFBoX9xLYOVK_C8bQ/edit?usp=share_link"",""สุราษฎร์ธานี!J597"")"),9450.96)</f>
        <v>9450.9599999999991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20.25" customHeight="1">
      <c r="A598" s="607"/>
      <c r="B598" s="608"/>
      <c r="C598" s="608"/>
      <c r="D598" s="608"/>
      <c r="E598" s="618"/>
      <c r="F598" s="618"/>
      <c r="G598" s="175"/>
      <c r="H598" s="182" t="s">
        <v>34</v>
      </c>
      <c r="I598" s="37"/>
      <c r="J598" s="183">
        <f ca="1">IFERROR(__xludf.DUMMYFUNCTION("IMPORTRANGE(""https://docs.google.com/spreadsheets/d/1kC41EOXpGBFOW658Fs3oD8beYlym0-zO54WY-2Qnp9I/edit?usp=share_link"",""กระบี่!J598"")
+IMPORTRANGE(""https://docs.google.com/spreadsheets/d/1FbzMZY_f3MDiEuK7RpCQKrilJ_kpX0Wm7QBZ1L7EjIU/edit?usp=share_link"&amp;""",""ชุมพร!J598"")+IMPORTRANGE(""https://docs.google.com/spreadsheets/d/1v5sN-00LrXuhBxw4dkh2GrG_z4l5oAqOdJRBCsUyMaM/edit?usp=share_link"",""ตรัง!J598"")+IMPORTRANGE(""https://docs.google.com/spreadsheets/d/1T5rRTzFc79aSIvqnzkZNvwPstq829QYz_xALlO1Z0s8/edi"&amp;"t?usp=share_link"",""นครศรีธรรมราช!J598"")+IMPORTRANGE(""https://docs.google.com/spreadsheets/d/1BeghqumK0IvCmRd2QOy6_afsZq7ZtAGrSnVJy2u7WmY/edit?usp=share_link"",""นราธิวาส!J598"")+IMPORTRANGE(""https://docs.google.com/spreadsheets/d/1IwnW3-jjRf74MCLW-6P"&amp;"iFwMUffRQXZwZA7YM609NmRc/edit?usp=share_link"",""ปัตตานี!J598"")+IMPORTRANGE(""https://docs.google.com/spreadsheets/d/1vl4QWbWdFruual5o_wdo6ZSqXZ_it806oja4CctTLKs/edit?usp=share_link"",""พังงา!J598"")+IMPORTRANGE(""https://docs.google.com/spreadsheets/d/1"&amp;"b6QssHQp2FoAPSMKHOy273KNzAomaIKhtdlvuZ_zDNE/edit?usp=share_link"",""พัทลุง!J598"")+IMPORTRANGE(""https://docs.google.com/spreadsheets/d/1o7UZe4_OqlqtLDHrj01Z2YFRSZDf1DMy1n3XViHaxRc/edit?usp=share_link"",""ภูเก็ต!J598"")+IMPORTRANGE(""https://docs.google.c"&amp;"om/spreadsheets/d/1ctPm1vUzcUCPuOj9-eoHUD85PqINFqUB0TjdSWmR5-c/edit?usp=share_link"",""ยะลา!J598"")+IMPORTRANGE(""https://docs.google.com/spreadsheets/d/1YiDIE7Klmt8osgdapRqYWNr7iPGFSsiJqq46S7PYRE0/edit?usp=share_link"",""ระนอง!J598"")+IMPORTRANGE(""https"&amp;"://docs.google.com/spreadsheets/d/16o_4B-V7AWw_6E93bSpXj_XxVv1oVQctk-B6z1dNEWU/edit?usp=share_link"",""สงขลา!J598"")+IMPORTRANGE(""https://docs.google.com/spreadsheets/d/16cywr71Fj4fA5OGRHsZh30ZG2gwJhMAQv69oVBzYHv0/edit?usp=share_link"",""สตูล!J598"")+IMP"&amp;"ORTRANGE(""https://docs.google.com/spreadsheets/d/1vO9Sws6kMtrVtyvrAJptINXjK8TFBoX9xLYOVK_C8bQ/edit?usp=share_link"",""สุราษฎร์ธานี!J598"")"),971)</f>
        <v>971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20.25" customHeight="1">
      <c r="A599" s="607"/>
      <c r="B599" s="608"/>
      <c r="C599" s="608"/>
      <c r="D599" s="263" t="s">
        <v>256</v>
      </c>
      <c r="E599" s="618"/>
      <c r="F599" s="618"/>
      <c r="G599" s="175"/>
      <c r="H599" s="182" t="s">
        <v>46</v>
      </c>
      <c r="I599" s="37"/>
      <c r="J599" s="183">
        <f ca="1">IFERROR(__xludf.DUMMYFUNCTION("IMPORTRANGE(""https://docs.google.com/spreadsheets/d/1kC41EOXpGBFOW658Fs3oD8beYlym0-zO54WY-2Qnp9I/edit?usp=share_link"",""กระบี่!J599"")
+IMPORTRANGE(""https://docs.google.com/spreadsheets/d/1FbzMZY_f3MDiEuK7RpCQKrilJ_kpX0Wm7QBZ1L7EjIU/edit?usp=share_link"&amp;""",""ชุมพร!J599"")+IMPORTRANGE(""https://docs.google.com/spreadsheets/d/1v5sN-00LrXuhBxw4dkh2GrG_z4l5oAqOdJRBCsUyMaM/edit?usp=share_link"",""ตรัง!J599"")+IMPORTRANGE(""https://docs.google.com/spreadsheets/d/1T5rRTzFc79aSIvqnzkZNvwPstq829QYz_xALlO1Z0s8/edi"&amp;"t?usp=share_link"",""นครศรีธรรมราช!J599"")+IMPORTRANGE(""https://docs.google.com/spreadsheets/d/1BeghqumK0IvCmRd2QOy6_afsZq7ZtAGrSnVJy2u7WmY/edit?usp=share_link"",""นราธิวาส!J599"")+IMPORTRANGE(""https://docs.google.com/spreadsheets/d/1IwnW3-jjRf74MCLW-6P"&amp;"iFwMUffRQXZwZA7YM609NmRc/edit?usp=share_link"",""ปัตตานี!J599"")+IMPORTRANGE(""https://docs.google.com/spreadsheets/d/1vl4QWbWdFruual5o_wdo6ZSqXZ_it806oja4CctTLKs/edit?usp=share_link"",""พังงา!J599"")+IMPORTRANGE(""https://docs.google.com/spreadsheets/d/1"&amp;"b6QssHQp2FoAPSMKHOy273KNzAomaIKhtdlvuZ_zDNE/edit?usp=share_link"",""พัทลุง!J599"")+IMPORTRANGE(""https://docs.google.com/spreadsheets/d/1o7UZe4_OqlqtLDHrj01Z2YFRSZDf1DMy1n3XViHaxRc/edit?usp=share_link"",""ภูเก็ต!J599"")+IMPORTRANGE(""https://docs.google.c"&amp;"om/spreadsheets/d/1ctPm1vUzcUCPuOj9-eoHUD85PqINFqUB0TjdSWmR5-c/edit?usp=share_link"",""ยะลา!J599"")+IMPORTRANGE(""https://docs.google.com/spreadsheets/d/1YiDIE7Klmt8osgdapRqYWNr7iPGFSsiJqq46S7PYRE0/edit?usp=share_link"",""ระนอง!J599"")+IMPORTRANGE(""https"&amp;"://docs.google.com/spreadsheets/d/16o_4B-V7AWw_6E93bSpXj_XxVv1oVQctk-B6z1dNEWU/edit?usp=share_link"",""สงขลา!J599"")+IMPORTRANGE(""https://docs.google.com/spreadsheets/d/16cywr71Fj4fA5OGRHsZh30ZG2gwJhMAQv69oVBzYHv0/edit?usp=share_link"",""สตูล!J599"")+IMP"&amp;"ORTRANGE(""https://docs.google.com/spreadsheets/d/1vO9Sws6kMtrVtyvrAJptINXjK8TFBoX9xLYOVK_C8bQ/edit?usp=share_link"",""สุราษฎร์ธานี!J599"")"),9)</f>
        <v>9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20.25" customHeight="1">
      <c r="A600" s="607"/>
      <c r="B600" s="608"/>
      <c r="C600" s="608"/>
      <c r="D600" s="608"/>
      <c r="E600" s="618"/>
      <c r="F600" s="618"/>
      <c r="G600" s="175"/>
      <c r="H600" s="182" t="s">
        <v>34</v>
      </c>
      <c r="I600" s="37"/>
      <c r="J600" s="183">
        <f ca="1">IFERROR(__xludf.DUMMYFUNCTION("IMPORTRANGE(""https://docs.google.com/spreadsheets/d/1kC41EOXpGBFOW658Fs3oD8beYlym0-zO54WY-2Qnp9I/edit?usp=share_link"",""กระบี่!J600"")
+IMPORTRANGE(""https://docs.google.com/spreadsheets/d/1FbzMZY_f3MDiEuK7RpCQKrilJ_kpX0Wm7QBZ1L7EjIU/edit?usp=share_link"&amp;""",""ชุมพร!J600"")+IMPORTRANGE(""https://docs.google.com/spreadsheets/d/1v5sN-00LrXuhBxw4dkh2GrG_z4l5oAqOdJRBCsUyMaM/edit?usp=share_link"",""ตรัง!J600"")+IMPORTRANGE(""https://docs.google.com/spreadsheets/d/1T5rRTzFc79aSIvqnzkZNvwPstq829QYz_xALlO1Z0s8/edi"&amp;"t?usp=share_link"",""นครศรีธรรมราช!J600"")+IMPORTRANGE(""https://docs.google.com/spreadsheets/d/1BeghqumK0IvCmRd2QOy6_afsZq7ZtAGrSnVJy2u7WmY/edit?usp=share_link"",""นราธิวาส!J600"")+IMPORTRANGE(""https://docs.google.com/spreadsheets/d/1IwnW3-jjRf74MCLW-6P"&amp;"iFwMUffRQXZwZA7YM609NmRc/edit?usp=share_link"",""ปัตตานี!J600"")+IMPORTRANGE(""https://docs.google.com/spreadsheets/d/1vl4QWbWdFruual5o_wdo6ZSqXZ_it806oja4CctTLKs/edit?usp=share_link"",""พังงา!J600"")+IMPORTRANGE(""https://docs.google.com/spreadsheets/d/1"&amp;"b6QssHQp2FoAPSMKHOy273KNzAomaIKhtdlvuZ_zDNE/edit?usp=share_link"",""พัทลุง!J600"")+IMPORTRANGE(""https://docs.google.com/spreadsheets/d/1o7UZe4_OqlqtLDHrj01Z2YFRSZDf1DMy1n3XViHaxRc/edit?usp=share_link"",""ภูเก็ต!J600"")+IMPORTRANGE(""https://docs.google.c"&amp;"om/spreadsheets/d/1ctPm1vUzcUCPuOj9-eoHUD85PqINFqUB0TjdSWmR5-c/edit?usp=share_link"",""ยะลา!J600"")+IMPORTRANGE(""https://docs.google.com/spreadsheets/d/1YiDIE7Klmt8osgdapRqYWNr7iPGFSsiJqq46S7PYRE0/edit?usp=share_link"",""ระนอง!J600"")+IMPORTRANGE(""https"&amp;"://docs.google.com/spreadsheets/d/16o_4B-V7AWw_6E93bSpXj_XxVv1oVQctk-B6z1dNEWU/edit?usp=share_link"",""สงขลา!J600"")+IMPORTRANGE(""https://docs.google.com/spreadsheets/d/16cywr71Fj4fA5OGRHsZh30ZG2gwJhMAQv69oVBzYHv0/edit?usp=share_link"",""สตูล!J600"")+IMP"&amp;"ORTRANGE(""https://docs.google.com/spreadsheets/d/1vO9Sws6kMtrVtyvrAJptINXjK8TFBoX9xLYOVK_C8bQ/edit?usp=share_link"",""สุราษฎร์ธานี!J600"")"),4)</f>
        <v>4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20.25" customHeight="1">
      <c r="A601" s="607"/>
      <c r="B601" s="608"/>
      <c r="C601" s="608"/>
      <c r="D601" s="263" t="s">
        <v>257</v>
      </c>
      <c r="E601" s="618"/>
      <c r="F601" s="618"/>
      <c r="G601" s="175"/>
      <c r="H601" s="182" t="s">
        <v>46</v>
      </c>
      <c r="I601" s="37"/>
      <c r="J601" s="183">
        <f ca="1">IFERROR(__xludf.DUMMYFUNCTION("IMPORTRANGE(""https://docs.google.com/spreadsheets/d/1kC41EOXpGBFOW658Fs3oD8beYlym0-zO54WY-2Qnp9I/edit?usp=share_link"",""กระบี่!J601"")
+IMPORTRANGE(""https://docs.google.com/spreadsheets/d/1FbzMZY_f3MDiEuK7RpCQKrilJ_kpX0Wm7QBZ1L7EjIU/edit?usp=share_link"&amp;""",""ชุมพร!J601"")+IMPORTRANGE(""https://docs.google.com/spreadsheets/d/1v5sN-00LrXuhBxw4dkh2GrG_z4l5oAqOdJRBCsUyMaM/edit?usp=share_link"",""ตรัง!J601"")+IMPORTRANGE(""https://docs.google.com/spreadsheets/d/1T5rRTzFc79aSIvqnzkZNvwPstq829QYz_xALlO1Z0s8/edi"&amp;"t?usp=share_link"",""นครศรีธรรมราช!J601"")+IMPORTRANGE(""https://docs.google.com/spreadsheets/d/1BeghqumK0IvCmRd2QOy6_afsZq7ZtAGrSnVJy2u7WmY/edit?usp=share_link"",""นราธิวาส!J601"")+IMPORTRANGE(""https://docs.google.com/spreadsheets/d/1IwnW3-jjRf74MCLW-6P"&amp;"iFwMUffRQXZwZA7YM609NmRc/edit?usp=share_link"",""ปัตตานี!J601"")+IMPORTRANGE(""https://docs.google.com/spreadsheets/d/1vl4QWbWdFruual5o_wdo6ZSqXZ_it806oja4CctTLKs/edit?usp=share_link"",""พังงา!J601"")+IMPORTRANGE(""https://docs.google.com/spreadsheets/d/1"&amp;"b6QssHQp2FoAPSMKHOy273KNzAomaIKhtdlvuZ_zDNE/edit?usp=share_link"",""พัทลุง!J601"")+IMPORTRANGE(""https://docs.google.com/spreadsheets/d/1o7UZe4_OqlqtLDHrj01Z2YFRSZDf1DMy1n3XViHaxRc/edit?usp=share_link"",""ภูเก็ต!J601"")+IMPORTRANGE(""https://docs.google.c"&amp;"om/spreadsheets/d/1ctPm1vUzcUCPuOj9-eoHUD85PqINFqUB0TjdSWmR5-c/edit?usp=share_link"",""ยะลา!J601"")+IMPORTRANGE(""https://docs.google.com/spreadsheets/d/1YiDIE7Klmt8osgdapRqYWNr7iPGFSsiJqq46S7PYRE0/edit?usp=share_link"",""ระนอง!J601"")+IMPORTRANGE(""https"&amp;"://docs.google.com/spreadsheets/d/16o_4B-V7AWw_6E93bSpXj_XxVv1oVQctk-B6z1dNEWU/edit?usp=share_link"",""สงขลา!J601"")+IMPORTRANGE(""https://docs.google.com/spreadsheets/d/16cywr71Fj4fA5OGRHsZh30ZG2gwJhMAQv69oVBzYHv0/edit?usp=share_link"",""สตูล!J601"")+IMP"&amp;"ORTRANGE(""https://docs.google.com/spreadsheets/d/1vO9Sws6kMtrVtyvrAJptINXjK8TFBoX9xLYOVK_C8bQ/edit?usp=share_link"",""สุราษฎร์ธานี!J601"")"),0)</f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20.25" customHeight="1">
      <c r="A602" s="607"/>
      <c r="B602" s="608"/>
      <c r="C602" s="608"/>
      <c r="D602" s="608"/>
      <c r="E602" s="618"/>
      <c r="F602" s="618"/>
      <c r="G602" s="175"/>
      <c r="H602" s="182" t="s">
        <v>34</v>
      </c>
      <c r="I602" s="37"/>
      <c r="J602" s="183">
        <f ca="1">IFERROR(__xludf.DUMMYFUNCTION("IMPORTRANGE(""https://docs.google.com/spreadsheets/d/1kC41EOXpGBFOW658Fs3oD8beYlym0-zO54WY-2Qnp9I/edit?usp=share_link"",""กระบี่!J602"")
+IMPORTRANGE(""https://docs.google.com/spreadsheets/d/1FbzMZY_f3MDiEuK7RpCQKrilJ_kpX0Wm7QBZ1L7EjIU/edit?usp=share_link"&amp;""",""ชุมพร!J602"")+IMPORTRANGE(""https://docs.google.com/spreadsheets/d/1v5sN-00LrXuhBxw4dkh2GrG_z4l5oAqOdJRBCsUyMaM/edit?usp=share_link"",""ตรัง!J602"")+IMPORTRANGE(""https://docs.google.com/spreadsheets/d/1T5rRTzFc79aSIvqnzkZNvwPstq829QYz_xALlO1Z0s8/edi"&amp;"t?usp=share_link"",""นครศรีธรรมราช!J602"")+IMPORTRANGE(""https://docs.google.com/spreadsheets/d/1BeghqumK0IvCmRd2QOy6_afsZq7ZtAGrSnVJy2u7WmY/edit?usp=share_link"",""นราธิวาส!J602"")+IMPORTRANGE(""https://docs.google.com/spreadsheets/d/1IwnW3-jjRf74MCLW-6P"&amp;"iFwMUffRQXZwZA7YM609NmRc/edit?usp=share_link"",""ปัตตานี!J602"")+IMPORTRANGE(""https://docs.google.com/spreadsheets/d/1vl4QWbWdFruual5o_wdo6ZSqXZ_it806oja4CctTLKs/edit?usp=share_link"",""พังงา!J602"")+IMPORTRANGE(""https://docs.google.com/spreadsheets/d/1"&amp;"b6QssHQp2FoAPSMKHOy273KNzAomaIKhtdlvuZ_zDNE/edit?usp=share_link"",""พัทลุง!J602"")+IMPORTRANGE(""https://docs.google.com/spreadsheets/d/1o7UZe4_OqlqtLDHrj01Z2YFRSZDf1DMy1n3XViHaxRc/edit?usp=share_link"",""ภูเก็ต!J602"")+IMPORTRANGE(""https://docs.google.c"&amp;"om/spreadsheets/d/1ctPm1vUzcUCPuOj9-eoHUD85PqINFqUB0TjdSWmR5-c/edit?usp=share_link"",""ยะลา!J602"")+IMPORTRANGE(""https://docs.google.com/spreadsheets/d/1YiDIE7Klmt8osgdapRqYWNr7iPGFSsiJqq46S7PYRE0/edit?usp=share_link"",""ระนอง!J602"")+IMPORTRANGE(""https"&amp;"://docs.google.com/spreadsheets/d/16o_4B-V7AWw_6E93bSpXj_XxVv1oVQctk-B6z1dNEWU/edit?usp=share_link"",""สงขลา!J602"")+IMPORTRANGE(""https://docs.google.com/spreadsheets/d/16cywr71Fj4fA5OGRHsZh30ZG2gwJhMAQv69oVBzYHv0/edit?usp=share_link"",""สตูล!J602"")+IMP"&amp;"ORTRANGE(""https://docs.google.com/spreadsheets/d/1vO9Sws6kMtrVtyvrAJptINXjK8TFBoX9xLYOVK_C8bQ/edit?usp=share_link"",""สุราษฎร์ธานี!J602"")"),0)</f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20.25" customHeight="1">
      <c r="A603" s="607"/>
      <c r="B603" s="608"/>
      <c r="C603" s="704" t="s">
        <v>258</v>
      </c>
      <c r="D603" s="608"/>
      <c r="E603" s="608"/>
      <c r="F603" s="618"/>
      <c r="G603" s="175"/>
      <c r="H603" s="182" t="s">
        <v>46</v>
      </c>
      <c r="I603" s="37"/>
      <c r="J603" s="37">
        <f t="shared" ref="J603:J604" ca="1" si="293">J605+J607</f>
        <v>3317.2750000000001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20.25" customHeight="1">
      <c r="A604" s="607"/>
      <c r="B604" s="608"/>
      <c r="C604" s="608"/>
      <c r="D604" s="608"/>
      <c r="E604" s="618"/>
      <c r="F604" s="618"/>
      <c r="G604" s="175"/>
      <c r="H604" s="182" t="s">
        <v>34</v>
      </c>
      <c r="I604" s="37"/>
      <c r="J604" s="37">
        <f t="shared" ca="1" si="293"/>
        <v>414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20.25" customHeight="1">
      <c r="A605" s="607"/>
      <c r="B605" s="608"/>
      <c r="C605" s="608"/>
      <c r="D605" s="704" t="s">
        <v>259</v>
      </c>
      <c r="E605" s="618"/>
      <c r="F605" s="618"/>
      <c r="G605" s="175"/>
      <c r="H605" s="182" t="s">
        <v>46</v>
      </c>
      <c r="I605" s="37"/>
      <c r="J605" s="183">
        <f ca="1">IFERROR(__xludf.DUMMYFUNCTION("IMPORTRANGE(""https://docs.google.com/spreadsheets/d/1kC41EOXpGBFOW658Fs3oD8beYlym0-zO54WY-2Qnp9I/edit?usp=share_link"",""กระบี่!J605"")
+IMPORTRANGE(""https://docs.google.com/spreadsheets/d/1FbzMZY_f3MDiEuK7RpCQKrilJ_kpX0Wm7QBZ1L7EjIU/edit?usp=share_link"&amp;""",""ชุมพร!J605"")+IMPORTRANGE(""https://docs.google.com/spreadsheets/d/1v5sN-00LrXuhBxw4dkh2GrG_z4l5oAqOdJRBCsUyMaM/edit?usp=share_link"",""ตรัง!J605"")+IMPORTRANGE(""https://docs.google.com/spreadsheets/d/1T5rRTzFc79aSIvqnzkZNvwPstq829QYz_xALlO1Z0s8/edi"&amp;"t?usp=share_link"",""นครศรีธรรมราช!J605"")+IMPORTRANGE(""https://docs.google.com/spreadsheets/d/1BeghqumK0IvCmRd2QOy6_afsZq7ZtAGrSnVJy2u7WmY/edit?usp=share_link"",""นราธิวาส!J605"")+IMPORTRANGE(""https://docs.google.com/spreadsheets/d/1IwnW3-jjRf74MCLW-6P"&amp;"iFwMUffRQXZwZA7YM609NmRc/edit?usp=share_link"",""ปัตตานี!J605"")+IMPORTRANGE(""https://docs.google.com/spreadsheets/d/1vl4QWbWdFruual5o_wdo6ZSqXZ_it806oja4CctTLKs/edit?usp=share_link"",""พังงา!J605"")+IMPORTRANGE(""https://docs.google.com/spreadsheets/d/1"&amp;"b6QssHQp2FoAPSMKHOy273KNzAomaIKhtdlvuZ_zDNE/edit?usp=share_link"",""พัทลุง!J605"")+IMPORTRANGE(""https://docs.google.com/spreadsheets/d/1o7UZe4_OqlqtLDHrj01Z2YFRSZDf1DMy1n3XViHaxRc/edit?usp=share_link"",""ภูเก็ต!J605"")+IMPORTRANGE(""https://docs.google.c"&amp;"om/spreadsheets/d/1ctPm1vUzcUCPuOj9-eoHUD85PqINFqUB0TjdSWmR5-c/edit?usp=share_link"",""ยะลา!J605"")+IMPORTRANGE(""https://docs.google.com/spreadsheets/d/1YiDIE7Klmt8osgdapRqYWNr7iPGFSsiJqq46S7PYRE0/edit?usp=share_link"",""ระนอง!J605"")+IMPORTRANGE(""https"&amp;"://docs.google.com/spreadsheets/d/16o_4B-V7AWw_6E93bSpXj_XxVv1oVQctk-B6z1dNEWU/edit?usp=share_link"",""สงขลา!J605"")+IMPORTRANGE(""https://docs.google.com/spreadsheets/d/16cywr71Fj4fA5OGRHsZh30ZG2gwJhMAQv69oVBzYHv0/edit?usp=share_link"",""สตูล!J605"")+IMP"&amp;"ORTRANGE(""https://docs.google.com/spreadsheets/d/1vO9Sws6kMtrVtyvrAJptINXjK8TFBoX9xLYOVK_C8bQ/edit?usp=share_link"",""สุราษฎร์ธานี!J605"")"),3062.275)</f>
        <v>3062.2750000000001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20.25" customHeight="1">
      <c r="A606" s="607"/>
      <c r="B606" s="608"/>
      <c r="C606" s="608"/>
      <c r="D606" s="608"/>
      <c r="E606" s="608"/>
      <c r="F606" s="618"/>
      <c r="G606" s="175"/>
      <c r="H606" s="182" t="s">
        <v>34</v>
      </c>
      <c r="I606" s="37"/>
      <c r="J606" s="183">
        <f ca="1">IFERROR(__xludf.DUMMYFUNCTION("IMPORTRANGE(""https://docs.google.com/spreadsheets/d/1kC41EOXpGBFOW658Fs3oD8beYlym0-zO54WY-2Qnp9I/edit?usp=share_link"",""กระบี่!J606"")
+IMPORTRANGE(""https://docs.google.com/spreadsheets/d/1FbzMZY_f3MDiEuK7RpCQKrilJ_kpX0Wm7QBZ1L7EjIU/edit?usp=share_link"&amp;""",""ชุมพร!J606"")+IMPORTRANGE(""https://docs.google.com/spreadsheets/d/1v5sN-00LrXuhBxw4dkh2GrG_z4l5oAqOdJRBCsUyMaM/edit?usp=share_link"",""ตรัง!J606"")+IMPORTRANGE(""https://docs.google.com/spreadsheets/d/1T5rRTzFc79aSIvqnzkZNvwPstq829QYz_xALlO1Z0s8/edi"&amp;"t?usp=share_link"",""นครศรีธรรมราช!J606"")+IMPORTRANGE(""https://docs.google.com/spreadsheets/d/1BeghqumK0IvCmRd2QOy6_afsZq7ZtAGrSnVJy2u7WmY/edit?usp=share_link"",""นราธิวาส!J606"")+IMPORTRANGE(""https://docs.google.com/spreadsheets/d/1IwnW3-jjRf74MCLW-6P"&amp;"iFwMUffRQXZwZA7YM609NmRc/edit?usp=share_link"",""ปัตตานี!J606"")+IMPORTRANGE(""https://docs.google.com/spreadsheets/d/1vl4QWbWdFruual5o_wdo6ZSqXZ_it806oja4CctTLKs/edit?usp=share_link"",""พังงา!J606"")+IMPORTRANGE(""https://docs.google.com/spreadsheets/d/1"&amp;"b6QssHQp2FoAPSMKHOy273KNzAomaIKhtdlvuZ_zDNE/edit?usp=share_link"",""พัทลุง!J606"")+IMPORTRANGE(""https://docs.google.com/spreadsheets/d/1o7UZe4_OqlqtLDHrj01Z2YFRSZDf1DMy1n3XViHaxRc/edit?usp=share_link"",""ภูเก็ต!J606"")+IMPORTRANGE(""https://docs.google.c"&amp;"om/spreadsheets/d/1ctPm1vUzcUCPuOj9-eoHUD85PqINFqUB0TjdSWmR5-c/edit?usp=share_link"",""ยะลา!J606"")+IMPORTRANGE(""https://docs.google.com/spreadsheets/d/1YiDIE7Klmt8osgdapRqYWNr7iPGFSsiJqq46S7PYRE0/edit?usp=share_link"",""ระนอง!J606"")+IMPORTRANGE(""https"&amp;"://docs.google.com/spreadsheets/d/16o_4B-V7AWw_6E93bSpXj_XxVv1oVQctk-B6z1dNEWU/edit?usp=share_link"",""สงขลา!J606"")+IMPORTRANGE(""https://docs.google.com/spreadsheets/d/16cywr71Fj4fA5OGRHsZh30ZG2gwJhMAQv69oVBzYHv0/edit?usp=share_link"",""สตูล!J606"")+IMP"&amp;"ORTRANGE(""https://docs.google.com/spreadsheets/d/1vO9Sws6kMtrVtyvrAJptINXjK8TFBoX9xLYOVK_C8bQ/edit?usp=share_link"",""สุราษฎร์ธานี!J606"")"),393)</f>
        <v>393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20.25" customHeight="1">
      <c r="A607" s="607"/>
      <c r="B607" s="608"/>
      <c r="C607" s="608"/>
      <c r="D607" s="704" t="s">
        <v>260</v>
      </c>
      <c r="E607" s="608"/>
      <c r="F607" s="618"/>
      <c r="G607" s="175"/>
      <c r="H607" s="182" t="s">
        <v>46</v>
      </c>
      <c r="I607" s="37"/>
      <c r="J607" s="183">
        <f ca="1">IFERROR(__xludf.DUMMYFUNCTION("IMPORTRANGE(""https://docs.google.com/spreadsheets/d/1kC41EOXpGBFOW658Fs3oD8beYlym0-zO54WY-2Qnp9I/edit?usp=share_link"",""กระบี่!J607"")
+IMPORTRANGE(""https://docs.google.com/spreadsheets/d/1FbzMZY_f3MDiEuK7RpCQKrilJ_kpX0Wm7QBZ1L7EjIU/edit?usp=share_link"&amp;""",""ชุมพร!J607"")+IMPORTRANGE(""https://docs.google.com/spreadsheets/d/1v5sN-00LrXuhBxw4dkh2GrG_z4l5oAqOdJRBCsUyMaM/edit?usp=share_link"",""ตรัง!J607"")+IMPORTRANGE(""https://docs.google.com/spreadsheets/d/1T5rRTzFc79aSIvqnzkZNvwPstq829QYz_xALlO1Z0s8/edi"&amp;"t?usp=share_link"",""นครศรีธรรมราช!J607"")+IMPORTRANGE(""https://docs.google.com/spreadsheets/d/1BeghqumK0IvCmRd2QOy6_afsZq7ZtAGrSnVJy2u7WmY/edit?usp=share_link"",""นราธิวาส!J607"")+IMPORTRANGE(""https://docs.google.com/spreadsheets/d/1IwnW3-jjRf74MCLW-6P"&amp;"iFwMUffRQXZwZA7YM609NmRc/edit?usp=share_link"",""ปัตตานี!J607"")+IMPORTRANGE(""https://docs.google.com/spreadsheets/d/1vl4QWbWdFruual5o_wdo6ZSqXZ_it806oja4CctTLKs/edit?usp=share_link"",""พังงา!J607"")+IMPORTRANGE(""https://docs.google.com/spreadsheets/d/1"&amp;"b6QssHQp2FoAPSMKHOy273KNzAomaIKhtdlvuZ_zDNE/edit?usp=share_link"",""พัทลุง!J607"")+IMPORTRANGE(""https://docs.google.com/spreadsheets/d/1o7UZe4_OqlqtLDHrj01Z2YFRSZDf1DMy1n3XViHaxRc/edit?usp=share_link"",""ภูเก็ต!J607"")+IMPORTRANGE(""https://docs.google.c"&amp;"om/spreadsheets/d/1ctPm1vUzcUCPuOj9-eoHUD85PqINFqUB0TjdSWmR5-c/edit?usp=share_link"",""ยะลา!J607"")+IMPORTRANGE(""https://docs.google.com/spreadsheets/d/1YiDIE7Klmt8osgdapRqYWNr7iPGFSsiJqq46S7PYRE0/edit?usp=share_link"",""ระนอง!J607"")+IMPORTRANGE(""https"&amp;"://docs.google.com/spreadsheets/d/16o_4B-V7AWw_6E93bSpXj_XxVv1oVQctk-B6z1dNEWU/edit?usp=share_link"",""สงขลา!J607"")+IMPORTRANGE(""https://docs.google.com/spreadsheets/d/16cywr71Fj4fA5OGRHsZh30ZG2gwJhMAQv69oVBzYHv0/edit?usp=share_link"",""สตูล!J607"")+IMP"&amp;"ORTRANGE(""https://docs.google.com/spreadsheets/d/1vO9Sws6kMtrVtyvrAJptINXjK8TFBoX9xLYOVK_C8bQ/edit?usp=share_link"",""สุราษฎร์ธานี!J607"")"),255)</f>
        <v>255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20.25" customHeight="1">
      <c r="A608" s="607"/>
      <c r="B608" s="608"/>
      <c r="C608" s="608"/>
      <c r="D608" s="608"/>
      <c r="E608" s="618"/>
      <c r="F608" s="618"/>
      <c r="G608" s="175"/>
      <c r="H608" s="182" t="s">
        <v>34</v>
      </c>
      <c r="I608" s="37"/>
      <c r="J608" s="183">
        <f ca="1">IFERROR(__xludf.DUMMYFUNCTION("IMPORTRANGE(""https://docs.google.com/spreadsheets/d/1kC41EOXpGBFOW658Fs3oD8beYlym0-zO54WY-2Qnp9I/edit?usp=share_link"",""กระบี่!J608"")
+IMPORTRANGE(""https://docs.google.com/spreadsheets/d/1FbzMZY_f3MDiEuK7RpCQKrilJ_kpX0Wm7QBZ1L7EjIU/edit?usp=share_link"&amp;""",""ชุมพร!J608"")+IMPORTRANGE(""https://docs.google.com/spreadsheets/d/1v5sN-00LrXuhBxw4dkh2GrG_z4l5oAqOdJRBCsUyMaM/edit?usp=share_link"",""ตรัง!J608"")+IMPORTRANGE(""https://docs.google.com/spreadsheets/d/1T5rRTzFc79aSIvqnzkZNvwPstq829QYz_xALlO1Z0s8/edi"&amp;"t?usp=share_link"",""นครศรีธรรมราช!J608"")+IMPORTRANGE(""https://docs.google.com/spreadsheets/d/1BeghqumK0IvCmRd2QOy6_afsZq7ZtAGrSnVJy2u7WmY/edit?usp=share_link"",""นราธิวาส!J608"")+IMPORTRANGE(""https://docs.google.com/spreadsheets/d/1IwnW3-jjRf74MCLW-6P"&amp;"iFwMUffRQXZwZA7YM609NmRc/edit?usp=share_link"",""ปัตตานี!J608"")+IMPORTRANGE(""https://docs.google.com/spreadsheets/d/1vl4QWbWdFruual5o_wdo6ZSqXZ_it806oja4CctTLKs/edit?usp=share_link"",""พังงา!J608"")+IMPORTRANGE(""https://docs.google.com/spreadsheets/d/1"&amp;"b6QssHQp2FoAPSMKHOy273KNzAomaIKhtdlvuZ_zDNE/edit?usp=share_link"",""พัทลุง!J608"")+IMPORTRANGE(""https://docs.google.com/spreadsheets/d/1o7UZe4_OqlqtLDHrj01Z2YFRSZDf1DMy1n3XViHaxRc/edit?usp=share_link"",""ภูเก็ต!J608"")+IMPORTRANGE(""https://docs.google.c"&amp;"om/spreadsheets/d/1ctPm1vUzcUCPuOj9-eoHUD85PqINFqUB0TjdSWmR5-c/edit?usp=share_link"",""ยะลา!J608"")+IMPORTRANGE(""https://docs.google.com/spreadsheets/d/1YiDIE7Klmt8osgdapRqYWNr7iPGFSsiJqq46S7PYRE0/edit?usp=share_link"",""ระนอง!J608"")+IMPORTRANGE(""https"&amp;"://docs.google.com/spreadsheets/d/16o_4B-V7AWw_6E93bSpXj_XxVv1oVQctk-B6z1dNEWU/edit?usp=share_link"",""สงขลา!J608"")+IMPORTRANGE(""https://docs.google.com/spreadsheets/d/16cywr71Fj4fA5OGRHsZh30ZG2gwJhMAQv69oVBzYHv0/edit?usp=share_link"",""สตูล!J608"")+IMP"&amp;"ORTRANGE(""https://docs.google.com/spreadsheets/d/1vO9Sws6kMtrVtyvrAJptINXjK8TFBoX9xLYOVK_C8bQ/edit?usp=share_link"",""สุราษฎร์ธานี!J608"")"),21)</f>
        <v>21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20.25" customHeight="1">
      <c r="A609" s="607"/>
      <c r="B609" s="608"/>
      <c r="C609" s="617" t="s">
        <v>261</v>
      </c>
      <c r="D609" s="608"/>
      <c r="E609" s="608"/>
      <c r="F609" s="618"/>
      <c r="G609" s="175"/>
      <c r="H609" s="182" t="s">
        <v>46</v>
      </c>
      <c r="I609" s="37"/>
      <c r="J609" s="183">
        <f ca="1">IFERROR(__xludf.DUMMYFUNCTION("IMPORTRANGE(""https://docs.google.com/spreadsheets/d/1kC41EOXpGBFOW658Fs3oD8beYlym0-zO54WY-2Qnp9I/edit?usp=share_link"",""กระบี่!J609"")
+IMPORTRANGE(""https://docs.google.com/spreadsheets/d/1FbzMZY_f3MDiEuK7RpCQKrilJ_kpX0Wm7QBZ1L7EjIU/edit?usp=share_link"&amp;""",""ชุมพร!J609"")+IMPORTRANGE(""https://docs.google.com/spreadsheets/d/1v5sN-00LrXuhBxw4dkh2GrG_z4l5oAqOdJRBCsUyMaM/edit?usp=share_link"",""ตรัง!J609"")+IMPORTRANGE(""https://docs.google.com/spreadsheets/d/1T5rRTzFc79aSIvqnzkZNvwPstq829QYz_xALlO1Z0s8/edi"&amp;"t?usp=share_link"",""นครศรีธรรมราช!J609"")+IMPORTRANGE(""https://docs.google.com/spreadsheets/d/1BeghqumK0IvCmRd2QOy6_afsZq7ZtAGrSnVJy2u7WmY/edit?usp=share_link"",""นราธิวาส!J609"")+IMPORTRANGE(""https://docs.google.com/spreadsheets/d/1IwnW3-jjRf74MCLW-6P"&amp;"iFwMUffRQXZwZA7YM609NmRc/edit?usp=share_link"",""ปัตตานี!J609"")+IMPORTRANGE(""https://docs.google.com/spreadsheets/d/1vl4QWbWdFruual5o_wdo6ZSqXZ_it806oja4CctTLKs/edit?usp=share_link"",""พังงา!J609"")+IMPORTRANGE(""https://docs.google.com/spreadsheets/d/1"&amp;"b6QssHQp2FoAPSMKHOy273KNzAomaIKhtdlvuZ_zDNE/edit?usp=share_link"",""พัทลุง!J609"")+IMPORTRANGE(""https://docs.google.com/spreadsheets/d/1o7UZe4_OqlqtLDHrj01Z2YFRSZDf1DMy1n3XViHaxRc/edit?usp=share_link"",""ภูเก็ต!J609"")+IMPORTRANGE(""https://docs.google.c"&amp;"om/spreadsheets/d/1ctPm1vUzcUCPuOj9-eoHUD85PqINFqUB0TjdSWmR5-c/edit?usp=share_link"",""ยะลา!J609"")+IMPORTRANGE(""https://docs.google.com/spreadsheets/d/1YiDIE7Klmt8osgdapRqYWNr7iPGFSsiJqq46S7PYRE0/edit?usp=share_link"",""ระนอง!J609"")+IMPORTRANGE(""https"&amp;"://docs.google.com/spreadsheets/d/16o_4B-V7AWw_6E93bSpXj_XxVv1oVQctk-B6z1dNEWU/edit?usp=share_link"",""สงขลา!J609"")+IMPORTRANGE(""https://docs.google.com/spreadsheets/d/16cywr71Fj4fA5OGRHsZh30ZG2gwJhMAQv69oVBzYHv0/edit?usp=share_link"",""สตูล!J609"")+IMP"&amp;"ORTRANGE(""https://docs.google.com/spreadsheets/d/1vO9Sws6kMtrVtyvrAJptINXjK8TFBoX9xLYOVK_C8bQ/edit?usp=share_link"",""สุราษฎร์ธานี!J609"")"),2600)</f>
        <v>2600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20.25" customHeight="1">
      <c r="A610" s="607"/>
      <c r="B610" s="608"/>
      <c r="C610" s="608"/>
      <c r="D610" s="608"/>
      <c r="E610" s="618"/>
      <c r="F610" s="618"/>
      <c r="G610" s="175"/>
      <c r="H610" s="182" t="s">
        <v>34</v>
      </c>
      <c r="I610" s="37"/>
      <c r="J610" s="183">
        <f ca="1">IFERROR(__xludf.DUMMYFUNCTION("IMPORTRANGE(""https://docs.google.com/spreadsheets/d/1kC41EOXpGBFOW658Fs3oD8beYlym0-zO54WY-2Qnp9I/edit?usp=share_link"",""กระบี่!J610"")
+IMPORTRANGE(""https://docs.google.com/spreadsheets/d/1FbzMZY_f3MDiEuK7RpCQKrilJ_kpX0Wm7QBZ1L7EjIU/edit?usp=share_link"&amp;""",""ชุมพร!J610"")+IMPORTRANGE(""https://docs.google.com/spreadsheets/d/1v5sN-00LrXuhBxw4dkh2GrG_z4l5oAqOdJRBCsUyMaM/edit?usp=share_link"",""ตรัง!J610"")+IMPORTRANGE(""https://docs.google.com/spreadsheets/d/1T5rRTzFc79aSIvqnzkZNvwPstq829QYz_xALlO1Z0s8/edi"&amp;"t?usp=share_link"",""นครศรีธรรมราช!J610"")+IMPORTRANGE(""https://docs.google.com/spreadsheets/d/1BeghqumK0IvCmRd2QOy6_afsZq7ZtAGrSnVJy2u7WmY/edit?usp=share_link"",""นราธิวาส!J610"")+IMPORTRANGE(""https://docs.google.com/spreadsheets/d/1IwnW3-jjRf74MCLW-6P"&amp;"iFwMUffRQXZwZA7YM609NmRc/edit?usp=share_link"",""ปัตตานี!J610"")+IMPORTRANGE(""https://docs.google.com/spreadsheets/d/1vl4QWbWdFruual5o_wdo6ZSqXZ_it806oja4CctTLKs/edit?usp=share_link"",""พังงา!J610"")+IMPORTRANGE(""https://docs.google.com/spreadsheets/d/1"&amp;"b6QssHQp2FoAPSMKHOy273KNzAomaIKhtdlvuZ_zDNE/edit?usp=share_link"",""พัทลุง!J610"")+IMPORTRANGE(""https://docs.google.com/spreadsheets/d/1o7UZe4_OqlqtLDHrj01Z2YFRSZDf1DMy1n3XViHaxRc/edit?usp=share_link"",""ภูเก็ต!J610"")+IMPORTRANGE(""https://docs.google.c"&amp;"om/spreadsheets/d/1ctPm1vUzcUCPuOj9-eoHUD85PqINFqUB0TjdSWmR5-c/edit?usp=share_link"",""ยะลา!J610"")+IMPORTRANGE(""https://docs.google.com/spreadsheets/d/1YiDIE7Klmt8osgdapRqYWNr7iPGFSsiJqq46S7PYRE0/edit?usp=share_link"",""ระนอง!J610"")+IMPORTRANGE(""https"&amp;"://docs.google.com/spreadsheets/d/16o_4B-V7AWw_6E93bSpXj_XxVv1oVQctk-B6z1dNEWU/edit?usp=share_link"",""สงขลา!J610"")+IMPORTRANGE(""https://docs.google.com/spreadsheets/d/16cywr71Fj4fA5OGRHsZh30ZG2gwJhMAQv69oVBzYHv0/edit?usp=share_link"",""สตูล!J610"")+IMP"&amp;"ORTRANGE(""https://docs.google.com/spreadsheets/d/1vO9Sws6kMtrVtyvrAJptINXjK8TFBoX9xLYOVK_C8bQ/edit?usp=share_link"",""สุราษฎร์ธานี!J610"")"),214)</f>
        <v>214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20.25" customHeight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675">
        <f>J614+J616</f>
        <v>0</v>
      </c>
      <c r="K611" s="676">
        <f t="shared" ref="K611:K613" si="294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20.25" hidden="1" customHeight="1">
      <c r="A612" s="708"/>
      <c r="B612" s="709"/>
      <c r="C612" s="710" t="s">
        <v>263</v>
      </c>
      <c r="D612" s="709"/>
      <c r="E612" s="709"/>
      <c r="F612" s="711"/>
      <c r="G612" s="712"/>
      <c r="H612" s="713" t="s">
        <v>46</v>
      </c>
      <c r="I612" s="714">
        <v>0</v>
      </c>
      <c r="J612" s="715">
        <f t="shared" ref="J612:J613" si="295">J614+J616</f>
        <v>0</v>
      </c>
      <c r="K612" s="716">
        <f t="shared" si="294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20.25" hidden="1" customHeight="1">
      <c r="A613" s="708"/>
      <c r="B613" s="709"/>
      <c r="C613" s="718" t="s">
        <v>264</v>
      </c>
      <c r="D613" s="709"/>
      <c r="E613" s="709"/>
      <c r="F613" s="711"/>
      <c r="G613" s="712"/>
      <c r="H613" s="713" t="s">
        <v>34</v>
      </c>
      <c r="I613" s="714">
        <v>0</v>
      </c>
      <c r="J613" s="715">
        <f t="shared" si="295"/>
        <v>0</v>
      </c>
      <c r="K613" s="716">
        <f t="shared" si="294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20.25" hidden="1" customHeight="1">
      <c r="A614" s="613"/>
      <c r="B614" s="614"/>
      <c r="C614" s="614"/>
      <c r="D614" s="719" t="s">
        <v>265</v>
      </c>
      <c r="E614" s="614"/>
      <c r="F614" s="600"/>
      <c r="G614" s="366"/>
      <c r="H614" s="370" t="s">
        <v>46</v>
      </c>
      <c r="I614" s="44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20.25" hidden="1" customHeight="1">
      <c r="A615" s="613"/>
      <c r="B615" s="614"/>
      <c r="C615" s="614"/>
      <c r="D615" s="614"/>
      <c r="E615" s="614"/>
      <c r="F615" s="600"/>
      <c r="G615" s="366"/>
      <c r="H615" s="370" t="s">
        <v>34</v>
      </c>
      <c r="I615" s="44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20.25" hidden="1" customHeight="1">
      <c r="A616" s="613"/>
      <c r="B616" s="614"/>
      <c r="C616" s="614"/>
      <c r="D616" s="720" t="s">
        <v>265</v>
      </c>
      <c r="E616" s="600"/>
      <c r="F616" s="600"/>
      <c r="G616" s="366"/>
      <c r="H616" s="370" t="s">
        <v>46</v>
      </c>
      <c r="I616" s="44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20.25" hidden="1" customHeight="1">
      <c r="A617" s="613"/>
      <c r="B617" s="614"/>
      <c r="C617" s="614"/>
      <c r="D617" s="614"/>
      <c r="E617" s="600"/>
      <c r="F617" s="600"/>
      <c r="G617" s="366"/>
      <c r="H617" s="370" t="s">
        <v>34</v>
      </c>
      <c r="I617" s="44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20.25" hidden="1" customHeight="1">
      <c r="A618" s="613"/>
      <c r="B618" s="614"/>
      <c r="C618" s="614"/>
      <c r="D618" s="720" t="s">
        <v>266</v>
      </c>
      <c r="E618" s="600"/>
      <c r="F618" s="600"/>
      <c r="G618" s="366"/>
      <c r="H618" s="370" t="s">
        <v>46</v>
      </c>
      <c r="I618" s="44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20.25" hidden="1" customHeight="1">
      <c r="A619" s="613"/>
      <c r="B619" s="614"/>
      <c r="C619" s="614"/>
      <c r="D619" s="614"/>
      <c r="E619" s="600"/>
      <c r="F619" s="600"/>
      <c r="G619" s="366"/>
      <c r="H619" s="370" t="s">
        <v>34</v>
      </c>
      <c r="I619" s="44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20.25" customHeight="1">
      <c r="A620" s="721"/>
      <c r="B620" s="722"/>
      <c r="C620" s="723" t="s">
        <v>267</v>
      </c>
      <c r="D620" s="722"/>
      <c r="E620" s="722"/>
      <c r="F620" s="724"/>
      <c r="G620" s="725"/>
      <c r="H620" s="726" t="s">
        <v>46</v>
      </c>
      <c r="I620" s="727">
        <f ca="1">IFERROR(__xludf.DUMMYFUNCTION("IMPORTRANGE(""https://docs.google.com/spreadsheets/d/1kC41EOXpGBFOW658Fs3oD8beYlym0-zO54WY-2Qnp9I/edit?usp=share_link"",""กระบี่!I620"")
+IMPORTRANGE(""https://docs.google.com/spreadsheets/d/1FbzMZY_f3MDiEuK7RpCQKrilJ_kpX0Wm7QBZ1L7EjIU/edit?usp=share_link"&amp;""",""ชุมพร!I620"")+IMPORTRANGE(""https://docs.google.com/spreadsheets/d/1v5sN-00LrXuhBxw4dkh2GrG_z4l5oAqOdJRBCsUyMaM/edit?usp=share_link"",""ตรัง!I620"")+IMPORTRANGE(""https://docs.google.com/spreadsheets/d/1T5rRTzFc79aSIvqnzkZNvwPstq829QYz_xALlO1Z0s8/edi"&amp;"t?usp=share_link"",""นครศรีธรรมราช!I620"")+IMPORTRANGE(""https://docs.google.com/spreadsheets/d/1BeghqumK0IvCmRd2QOy6_afsZq7ZtAGrSnVJy2u7WmY/edit?usp=share_link"",""นราธิวาส!I620"")+IMPORTRANGE(""https://docs.google.com/spreadsheets/d/1IwnW3-jjRf74MCLW-6P"&amp;"iFwMUffRQXZwZA7YM609NmRc/edit?usp=share_link"",""ปัตตานี!I620"")+IMPORTRANGE(""https://docs.google.com/spreadsheets/d/1vl4QWbWdFruual5o_wdo6ZSqXZ_it806oja4CctTLKs/edit?usp=share_link"",""พังงา!I620"")+IMPORTRANGE(""https://docs.google.com/spreadsheets/d/1"&amp;"b6QssHQp2FoAPSMKHOy273KNzAomaIKhtdlvuZ_zDNE/edit?usp=share_link"",""พัทลุง!I620"")+IMPORTRANGE(""https://docs.google.com/spreadsheets/d/1o7UZe4_OqlqtLDHrj01Z2YFRSZDf1DMy1n3XViHaxRc/edit?usp=share_link"",""ภูเก็ต!I620"")+IMPORTRANGE(""https://docs.google.c"&amp;"om/spreadsheets/d/1ctPm1vUzcUCPuOj9-eoHUD85PqINFqUB0TjdSWmR5-c/edit?usp=share_link"",""ยะลา!I620"")+IMPORTRANGE(""https://docs.google.com/spreadsheets/d/1YiDIE7Klmt8osgdapRqYWNr7iPGFSsiJqq46S7PYRE0/edit?usp=share_link"",""ระนอง!I620"")+IMPORTRANGE(""https"&amp;"://docs.google.com/spreadsheets/d/16o_4B-V7AWw_6E93bSpXj_XxVv1oVQctk-B6z1dNEWU/edit?usp=share_link"",""สงขลา!I620"")+IMPORTRANGE(""https://docs.google.com/spreadsheets/d/16cywr71Fj4fA5OGRHsZh30ZG2gwJhMAQv69oVBzYHv0/edit?usp=share_link"",""สตูล!I620"")+IMP"&amp;"ORTRANGE(""https://docs.google.com/spreadsheets/d/1vO9Sws6kMtrVtyvrAJptINXjK8TFBoX9xLYOVK_C8bQ/edit?usp=share_link"",""สุราษฎร์ธานี!I620"")"),285)</f>
        <v>285</v>
      </c>
      <c r="J620" s="727">
        <f t="shared" ref="J620:J621" ca="1" si="296">J622+J624+J626</f>
        <v>66</v>
      </c>
      <c r="K620" s="728">
        <f t="shared" ref="K620:K621" ca="1" si="297">IF(I620&gt;0,J620*100/I620,0)</f>
        <v>23.157894736842106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20.25" customHeight="1">
      <c r="A621" s="721"/>
      <c r="B621" s="722"/>
      <c r="C621" s="730" t="s">
        <v>268</v>
      </c>
      <c r="D621" s="722"/>
      <c r="E621" s="722"/>
      <c r="F621" s="724"/>
      <c r="G621" s="725"/>
      <c r="H621" s="726" t="s">
        <v>34</v>
      </c>
      <c r="I621" s="727">
        <f ca="1">IFERROR(__xludf.DUMMYFUNCTION("IMPORTRANGE(""https://docs.google.com/spreadsheets/d/1kC41EOXpGBFOW658Fs3oD8beYlym0-zO54WY-2Qnp9I/edit?usp=share_link"",""กระบี่!I621"")
+IMPORTRANGE(""https://docs.google.com/spreadsheets/d/1FbzMZY_f3MDiEuK7RpCQKrilJ_kpX0Wm7QBZ1L7EjIU/edit?usp=share_link"&amp;""",""ชุมพร!I621"")+IMPORTRANGE(""https://docs.google.com/spreadsheets/d/1v5sN-00LrXuhBxw4dkh2GrG_z4l5oAqOdJRBCsUyMaM/edit?usp=share_link"",""ตรัง!I621"")+IMPORTRANGE(""https://docs.google.com/spreadsheets/d/1T5rRTzFc79aSIvqnzkZNvwPstq829QYz_xALlO1Z0s8/edi"&amp;"t?usp=share_link"",""นครศรีธรรมราช!I621"")+IMPORTRANGE(""https://docs.google.com/spreadsheets/d/1BeghqumK0IvCmRd2QOy6_afsZq7ZtAGrSnVJy2u7WmY/edit?usp=share_link"",""นราธิวาส!I621"")+IMPORTRANGE(""https://docs.google.com/spreadsheets/d/1IwnW3-jjRf74MCLW-6P"&amp;"iFwMUffRQXZwZA7YM609NmRc/edit?usp=share_link"",""ปัตตานี!I621"")+IMPORTRANGE(""https://docs.google.com/spreadsheets/d/1vl4QWbWdFruual5o_wdo6ZSqXZ_it806oja4CctTLKs/edit?usp=share_link"",""พังงา!I621"")+IMPORTRANGE(""https://docs.google.com/spreadsheets/d/1"&amp;"b6QssHQp2FoAPSMKHOy273KNzAomaIKhtdlvuZ_zDNE/edit?usp=share_link"",""พัทลุง!I621"")+IMPORTRANGE(""https://docs.google.com/spreadsheets/d/1o7UZe4_OqlqtLDHrj01Z2YFRSZDf1DMy1n3XViHaxRc/edit?usp=share_link"",""ภูเก็ต!I621"")+IMPORTRANGE(""https://docs.google.c"&amp;"om/spreadsheets/d/1ctPm1vUzcUCPuOj9-eoHUD85PqINFqUB0TjdSWmR5-c/edit?usp=share_link"",""ยะลา!I621"")+IMPORTRANGE(""https://docs.google.com/spreadsheets/d/1YiDIE7Klmt8osgdapRqYWNr7iPGFSsiJqq46S7PYRE0/edit?usp=share_link"",""ระนอง!I621"")+IMPORTRANGE(""https"&amp;"://docs.google.com/spreadsheets/d/16o_4B-V7AWw_6E93bSpXj_XxVv1oVQctk-B6z1dNEWU/edit?usp=share_link"",""สงขลา!I621"")+IMPORTRANGE(""https://docs.google.com/spreadsheets/d/16cywr71Fj4fA5OGRHsZh30ZG2gwJhMAQv69oVBzYHv0/edit?usp=share_link"",""สตูล!I621"")+IMP"&amp;"ORTRANGE(""https://docs.google.com/spreadsheets/d/1vO9Sws6kMtrVtyvrAJptINXjK8TFBoX9xLYOVK_C8bQ/edit?usp=share_link"",""สุราษฎร์ธานี!I621"")"),39)</f>
        <v>39</v>
      </c>
      <c r="J621" s="727">
        <f t="shared" ca="1" si="296"/>
        <v>10</v>
      </c>
      <c r="K621" s="728">
        <f t="shared" ca="1" si="297"/>
        <v>25.641025641025642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20.25" customHeight="1">
      <c r="A622" s="607"/>
      <c r="B622" s="608"/>
      <c r="C622" s="608"/>
      <c r="D622" s="263" t="s">
        <v>269</v>
      </c>
      <c r="E622" s="618"/>
      <c r="F622" s="618"/>
      <c r="G622" s="175"/>
      <c r="H622" s="182" t="s">
        <v>46</v>
      </c>
      <c r="I622" s="37"/>
      <c r="J622" s="183">
        <f ca="1">IFERROR(__xludf.DUMMYFUNCTION("IMPORTRANGE(""https://docs.google.com/spreadsheets/d/1kC41EOXpGBFOW658Fs3oD8beYlym0-zO54WY-2Qnp9I/edit?usp=share_link"",""กระบี่!J622"")
+IMPORTRANGE(""https://docs.google.com/spreadsheets/d/1FbzMZY_f3MDiEuK7RpCQKrilJ_kpX0Wm7QBZ1L7EjIU/edit?usp=share_link"&amp;""",""ชุมพร!J622"")+IMPORTRANGE(""https://docs.google.com/spreadsheets/d/1v5sN-00LrXuhBxw4dkh2GrG_z4l5oAqOdJRBCsUyMaM/edit?usp=share_link"",""ตรัง!J622"")+IMPORTRANGE(""https://docs.google.com/spreadsheets/d/1T5rRTzFc79aSIvqnzkZNvwPstq829QYz_xALlO1Z0s8/edi"&amp;"t?usp=share_link"",""นครศรีธรรมราช!J622"")+IMPORTRANGE(""https://docs.google.com/spreadsheets/d/1BeghqumK0IvCmRd2QOy6_afsZq7ZtAGrSnVJy2u7WmY/edit?usp=share_link"",""นราธิวาส!J622"")+IMPORTRANGE(""https://docs.google.com/spreadsheets/d/1IwnW3-jjRf74MCLW-6P"&amp;"iFwMUffRQXZwZA7YM609NmRc/edit?usp=share_link"",""ปัตตานี!J622"")+IMPORTRANGE(""https://docs.google.com/spreadsheets/d/1vl4QWbWdFruual5o_wdo6ZSqXZ_it806oja4CctTLKs/edit?usp=share_link"",""พังงา!J622"")+IMPORTRANGE(""https://docs.google.com/spreadsheets/d/1"&amp;"b6QssHQp2FoAPSMKHOy273KNzAomaIKhtdlvuZ_zDNE/edit?usp=share_link"",""พัทลุง!J622"")+IMPORTRANGE(""https://docs.google.com/spreadsheets/d/1o7UZe4_OqlqtLDHrj01Z2YFRSZDf1DMy1n3XViHaxRc/edit?usp=share_link"",""ภูเก็ต!J622"")+IMPORTRANGE(""https://docs.google.c"&amp;"om/spreadsheets/d/1ctPm1vUzcUCPuOj9-eoHUD85PqINFqUB0TjdSWmR5-c/edit?usp=share_link"",""ยะลา!J622"")+IMPORTRANGE(""https://docs.google.com/spreadsheets/d/1YiDIE7Klmt8osgdapRqYWNr7iPGFSsiJqq46S7PYRE0/edit?usp=share_link"",""ระนอง!J622"")+IMPORTRANGE(""https"&amp;"://docs.google.com/spreadsheets/d/16o_4B-V7AWw_6E93bSpXj_XxVv1oVQctk-B6z1dNEWU/edit?usp=share_link"",""สงขลา!J622"")+IMPORTRANGE(""https://docs.google.com/spreadsheets/d/16cywr71Fj4fA5OGRHsZh30ZG2gwJhMAQv69oVBzYHv0/edit?usp=share_link"",""สตูล!J622"")+IMP"&amp;"ORTRANGE(""https://docs.google.com/spreadsheets/d/1vO9Sws6kMtrVtyvrAJptINXjK8TFBoX9xLYOVK_C8bQ/edit?usp=share_link"",""สุราษฎร์ธานี!J622"")"),65)</f>
        <v>65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20.25" customHeight="1">
      <c r="A623" s="607"/>
      <c r="B623" s="608"/>
      <c r="C623" s="608"/>
      <c r="D623" s="608"/>
      <c r="E623" s="618"/>
      <c r="F623" s="618"/>
      <c r="G623" s="175"/>
      <c r="H623" s="182" t="s">
        <v>34</v>
      </c>
      <c r="I623" s="37"/>
      <c r="J623" s="183">
        <f ca="1">IFERROR(__xludf.DUMMYFUNCTION("IMPORTRANGE(""https://docs.google.com/spreadsheets/d/1kC41EOXpGBFOW658Fs3oD8beYlym0-zO54WY-2Qnp9I/edit?usp=share_link"",""กระบี่!J623"")
+IMPORTRANGE(""https://docs.google.com/spreadsheets/d/1FbzMZY_f3MDiEuK7RpCQKrilJ_kpX0Wm7QBZ1L7EjIU/edit?usp=share_link"&amp;""",""ชุมพร!J623"")+IMPORTRANGE(""https://docs.google.com/spreadsheets/d/1v5sN-00LrXuhBxw4dkh2GrG_z4l5oAqOdJRBCsUyMaM/edit?usp=share_link"",""ตรัง!J623"")+IMPORTRANGE(""https://docs.google.com/spreadsheets/d/1T5rRTzFc79aSIvqnzkZNvwPstq829QYz_xALlO1Z0s8/edi"&amp;"t?usp=share_link"",""นครศรีธรรมราช!J623"")+IMPORTRANGE(""https://docs.google.com/spreadsheets/d/1BeghqumK0IvCmRd2QOy6_afsZq7ZtAGrSnVJy2u7WmY/edit?usp=share_link"",""นราธิวาส!J623"")+IMPORTRANGE(""https://docs.google.com/spreadsheets/d/1IwnW3-jjRf74MCLW-6P"&amp;"iFwMUffRQXZwZA7YM609NmRc/edit?usp=share_link"",""ปัตตานี!J623"")+IMPORTRANGE(""https://docs.google.com/spreadsheets/d/1vl4QWbWdFruual5o_wdo6ZSqXZ_it806oja4CctTLKs/edit?usp=share_link"",""พังงา!J623"")+IMPORTRANGE(""https://docs.google.com/spreadsheets/d/1"&amp;"b6QssHQp2FoAPSMKHOy273KNzAomaIKhtdlvuZ_zDNE/edit?usp=share_link"",""พัทลุง!J623"")+IMPORTRANGE(""https://docs.google.com/spreadsheets/d/1o7UZe4_OqlqtLDHrj01Z2YFRSZDf1DMy1n3XViHaxRc/edit?usp=share_link"",""ภูเก็ต!J623"")+IMPORTRANGE(""https://docs.google.c"&amp;"om/spreadsheets/d/1ctPm1vUzcUCPuOj9-eoHUD85PqINFqUB0TjdSWmR5-c/edit?usp=share_link"",""ยะลา!J623"")+IMPORTRANGE(""https://docs.google.com/spreadsheets/d/1YiDIE7Klmt8osgdapRqYWNr7iPGFSsiJqq46S7PYRE0/edit?usp=share_link"",""ระนอง!J623"")+IMPORTRANGE(""https"&amp;"://docs.google.com/spreadsheets/d/16o_4B-V7AWw_6E93bSpXj_XxVv1oVQctk-B6z1dNEWU/edit?usp=share_link"",""สงขลา!J623"")+IMPORTRANGE(""https://docs.google.com/spreadsheets/d/16cywr71Fj4fA5OGRHsZh30ZG2gwJhMAQv69oVBzYHv0/edit?usp=share_link"",""สตูล!J623"")+IMP"&amp;"ORTRANGE(""https://docs.google.com/spreadsheets/d/1vO9Sws6kMtrVtyvrAJptINXjK8TFBoX9xLYOVK_C8bQ/edit?usp=share_link"",""สุราษฎร์ธานี!J623"")"),9)</f>
        <v>9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20.25" customHeight="1">
      <c r="A624" s="607"/>
      <c r="B624" s="608"/>
      <c r="C624" s="608"/>
      <c r="D624" s="263" t="s">
        <v>265</v>
      </c>
      <c r="E624" s="618"/>
      <c r="F624" s="618"/>
      <c r="G624" s="175"/>
      <c r="H624" s="182" t="s">
        <v>46</v>
      </c>
      <c r="I624" s="37"/>
      <c r="J624" s="183">
        <f ca="1">IFERROR(__xludf.DUMMYFUNCTION("IMPORTRANGE(""https://docs.google.com/spreadsheets/d/1kC41EOXpGBFOW658Fs3oD8beYlym0-zO54WY-2Qnp9I/edit?usp=share_link"",""กระบี่!J624"")
+IMPORTRANGE(""https://docs.google.com/spreadsheets/d/1FbzMZY_f3MDiEuK7RpCQKrilJ_kpX0Wm7QBZ1L7EjIU/edit?usp=share_link"&amp;""",""ชุมพร!J624"")+IMPORTRANGE(""https://docs.google.com/spreadsheets/d/1v5sN-00LrXuhBxw4dkh2GrG_z4l5oAqOdJRBCsUyMaM/edit?usp=share_link"",""ตรัง!J624"")+IMPORTRANGE(""https://docs.google.com/spreadsheets/d/1T5rRTzFc79aSIvqnzkZNvwPstq829QYz_xALlO1Z0s8/edi"&amp;"t?usp=share_link"",""นครศรีธรรมราช!J624"")+IMPORTRANGE(""https://docs.google.com/spreadsheets/d/1BeghqumK0IvCmRd2QOy6_afsZq7ZtAGrSnVJy2u7WmY/edit?usp=share_link"",""นราธิวาส!J624"")+IMPORTRANGE(""https://docs.google.com/spreadsheets/d/1IwnW3-jjRf74MCLW-6P"&amp;"iFwMUffRQXZwZA7YM609NmRc/edit?usp=share_link"",""ปัตตานี!J624"")+IMPORTRANGE(""https://docs.google.com/spreadsheets/d/1vl4QWbWdFruual5o_wdo6ZSqXZ_it806oja4CctTLKs/edit?usp=share_link"",""พังงา!J624"")+IMPORTRANGE(""https://docs.google.com/spreadsheets/d/1"&amp;"b6QssHQp2FoAPSMKHOy273KNzAomaIKhtdlvuZ_zDNE/edit?usp=share_link"",""พัทลุง!J624"")+IMPORTRANGE(""https://docs.google.com/spreadsheets/d/1o7UZe4_OqlqtLDHrj01Z2YFRSZDf1DMy1n3XViHaxRc/edit?usp=share_link"",""ภูเก็ต!J624"")+IMPORTRANGE(""https://docs.google.c"&amp;"om/spreadsheets/d/1ctPm1vUzcUCPuOj9-eoHUD85PqINFqUB0TjdSWmR5-c/edit?usp=share_link"",""ยะลา!J624"")+IMPORTRANGE(""https://docs.google.com/spreadsheets/d/1YiDIE7Klmt8osgdapRqYWNr7iPGFSsiJqq46S7PYRE0/edit?usp=share_link"",""ระนอง!J624"")+IMPORTRANGE(""https"&amp;"://docs.google.com/spreadsheets/d/16o_4B-V7AWw_6E93bSpXj_XxVv1oVQctk-B6z1dNEWU/edit?usp=share_link"",""สงขลา!J624"")+IMPORTRANGE(""https://docs.google.com/spreadsheets/d/16cywr71Fj4fA5OGRHsZh30ZG2gwJhMAQv69oVBzYHv0/edit?usp=share_link"",""สตูล!J624"")+IMP"&amp;"ORTRANGE(""https://docs.google.com/spreadsheets/d/1vO9Sws6kMtrVtyvrAJptINXjK8TFBoX9xLYOVK_C8bQ/edit?usp=share_link"",""สุราษฎร์ธานี!J624"")"),1)</f>
        <v>1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20.25" customHeight="1">
      <c r="A625" s="607"/>
      <c r="B625" s="608"/>
      <c r="C625" s="608"/>
      <c r="D625" s="608"/>
      <c r="E625" s="618"/>
      <c r="F625" s="618"/>
      <c r="G625" s="175"/>
      <c r="H625" s="182" t="s">
        <v>34</v>
      </c>
      <c r="I625" s="37"/>
      <c r="J625" s="183">
        <f ca="1">IFERROR(__xludf.DUMMYFUNCTION("IMPORTRANGE(""https://docs.google.com/spreadsheets/d/1kC41EOXpGBFOW658Fs3oD8beYlym0-zO54WY-2Qnp9I/edit?usp=share_link"",""กระบี่!J625"")
+IMPORTRANGE(""https://docs.google.com/spreadsheets/d/1FbzMZY_f3MDiEuK7RpCQKrilJ_kpX0Wm7QBZ1L7EjIU/edit?usp=share_link"&amp;""",""ชุมพร!J625"")+IMPORTRANGE(""https://docs.google.com/spreadsheets/d/1v5sN-00LrXuhBxw4dkh2GrG_z4l5oAqOdJRBCsUyMaM/edit?usp=share_link"",""ตรัง!J625"")+IMPORTRANGE(""https://docs.google.com/spreadsheets/d/1T5rRTzFc79aSIvqnzkZNvwPstq829QYz_xALlO1Z0s8/edi"&amp;"t?usp=share_link"",""นครศรีธรรมราช!J625"")+IMPORTRANGE(""https://docs.google.com/spreadsheets/d/1BeghqumK0IvCmRd2QOy6_afsZq7ZtAGrSnVJy2u7WmY/edit?usp=share_link"",""นราธิวาส!J625"")+IMPORTRANGE(""https://docs.google.com/spreadsheets/d/1IwnW3-jjRf74MCLW-6P"&amp;"iFwMUffRQXZwZA7YM609NmRc/edit?usp=share_link"",""ปัตตานี!J625"")+IMPORTRANGE(""https://docs.google.com/spreadsheets/d/1vl4QWbWdFruual5o_wdo6ZSqXZ_it806oja4CctTLKs/edit?usp=share_link"",""พังงา!J625"")+IMPORTRANGE(""https://docs.google.com/spreadsheets/d/1"&amp;"b6QssHQp2FoAPSMKHOy273KNzAomaIKhtdlvuZ_zDNE/edit?usp=share_link"",""พัทลุง!J625"")+IMPORTRANGE(""https://docs.google.com/spreadsheets/d/1o7UZe4_OqlqtLDHrj01Z2YFRSZDf1DMy1n3XViHaxRc/edit?usp=share_link"",""ภูเก็ต!J625"")+IMPORTRANGE(""https://docs.google.c"&amp;"om/spreadsheets/d/1ctPm1vUzcUCPuOj9-eoHUD85PqINFqUB0TjdSWmR5-c/edit?usp=share_link"",""ยะลา!J625"")+IMPORTRANGE(""https://docs.google.com/spreadsheets/d/1YiDIE7Klmt8osgdapRqYWNr7iPGFSsiJqq46S7PYRE0/edit?usp=share_link"",""ระนอง!J625"")+IMPORTRANGE(""https"&amp;"://docs.google.com/spreadsheets/d/16o_4B-V7AWw_6E93bSpXj_XxVv1oVQctk-B6z1dNEWU/edit?usp=share_link"",""สงขลา!J625"")+IMPORTRANGE(""https://docs.google.com/spreadsheets/d/16cywr71Fj4fA5OGRHsZh30ZG2gwJhMAQv69oVBzYHv0/edit?usp=share_link"",""สตูล!J625"")+IMP"&amp;"ORTRANGE(""https://docs.google.com/spreadsheets/d/1vO9Sws6kMtrVtyvrAJptINXjK8TFBoX9xLYOVK_C8bQ/edit?usp=share_link"",""สุราษฎร์ธานี!J625"")"),1)</f>
        <v>1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20.25" customHeight="1">
      <c r="A626" s="607"/>
      <c r="B626" s="608"/>
      <c r="C626" s="608"/>
      <c r="D626" s="263" t="s">
        <v>270</v>
      </c>
      <c r="E626" s="618"/>
      <c r="F626" s="618"/>
      <c r="G626" s="175"/>
      <c r="H626" s="182" t="s">
        <v>46</v>
      </c>
      <c r="I626" s="37"/>
      <c r="J626" s="183">
        <f ca="1">IFERROR(__xludf.DUMMYFUNCTION("IMPORTRANGE(""https://docs.google.com/spreadsheets/d/1kC41EOXpGBFOW658Fs3oD8beYlym0-zO54WY-2Qnp9I/edit?usp=share_link"",""กระบี่!J626"")
+IMPORTRANGE(""https://docs.google.com/spreadsheets/d/1FbzMZY_f3MDiEuK7RpCQKrilJ_kpX0Wm7QBZ1L7EjIU/edit?usp=share_link"&amp;""",""ชุมพร!J626"")+IMPORTRANGE(""https://docs.google.com/spreadsheets/d/1v5sN-00LrXuhBxw4dkh2GrG_z4l5oAqOdJRBCsUyMaM/edit?usp=share_link"",""ตรัง!J626"")+IMPORTRANGE(""https://docs.google.com/spreadsheets/d/1T5rRTzFc79aSIvqnzkZNvwPstq829QYz_xALlO1Z0s8/edi"&amp;"t?usp=share_link"",""นครศรีธรรมราช!J626"")+IMPORTRANGE(""https://docs.google.com/spreadsheets/d/1BeghqumK0IvCmRd2QOy6_afsZq7ZtAGrSnVJy2u7WmY/edit?usp=share_link"",""นราธิวาส!J626"")+IMPORTRANGE(""https://docs.google.com/spreadsheets/d/1IwnW3-jjRf74MCLW-6P"&amp;"iFwMUffRQXZwZA7YM609NmRc/edit?usp=share_link"",""ปัตตานี!J626"")+IMPORTRANGE(""https://docs.google.com/spreadsheets/d/1vl4QWbWdFruual5o_wdo6ZSqXZ_it806oja4CctTLKs/edit?usp=share_link"",""พังงา!J626"")+IMPORTRANGE(""https://docs.google.com/spreadsheets/d/1"&amp;"b6QssHQp2FoAPSMKHOy273KNzAomaIKhtdlvuZ_zDNE/edit?usp=share_link"",""พัทลุง!J626"")+IMPORTRANGE(""https://docs.google.com/spreadsheets/d/1o7UZe4_OqlqtLDHrj01Z2YFRSZDf1DMy1n3XViHaxRc/edit?usp=share_link"",""ภูเก็ต!J626"")+IMPORTRANGE(""https://docs.google.c"&amp;"om/spreadsheets/d/1ctPm1vUzcUCPuOj9-eoHUD85PqINFqUB0TjdSWmR5-c/edit?usp=share_link"",""ยะลา!J626"")+IMPORTRANGE(""https://docs.google.com/spreadsheets/d/1YiDIE7Klmt8osgdapRqYWNr7iPGFSsiJqq46S7PYRE0/edit?usp=share_link"",""ระนอง!J626"")+IMPORTRANGE(""https"&amp;"://docs.google.com/spreadsheets/d/16o_4B-V7AWw_6E93bSpXj_XxVv1oVQctk-B6z1dNEWU/edit?usp=share_link"",""สงขลา!J626"")+IMPORTRANGE(""https://docs.google.com/spreadsheets/d/16cywr71Fj4fA5OGRHsZh30ZG2gwJhMAQv69oVBzYHv0/edit?usp=share_link"",""สตูล!J626"")+IMP"&amp;"ORTRANGE(""https://docs.google.com/spreadsheets/d/1vO9Sws6kMtrVtyvrAJptINXjK8TFBoX9xLYOVK_C8bQ/edit?usp=share_link"",""สุราษฎร์ธานี!J626"")"),0)</f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20.25" customHeight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f ca="1">IFERROR(__xludf.DUMMYFUNCTION("IMPORTRANGE(""https://docs.google.com/spreadsheets/d/1kC41EOXpGBFOW658Fs3oD8beYlym0-zO54WY-2Qnp9I/edit?usp=share_link"",""กระบี่!J627"")
+IMPORTRANGE(""https://docs.google.com/spreadsheets/d/1FbzMZY_f3MDiEuK7RpCQKrilJ_kpX0Wm7QBZ1L7EjIU/edit?usp=share_link"&amp;""",""ชุมพร!J627"")+IMPORTRANGE(""https://docs.google.com/spreadsheets/d/1v5sN-00LrXuhBxw4dkh2GrG_z4l5oAqOdJRBCsUyMaM/edit?usp=share_link"",""ตรัง!J627"")+IMPORTRANGE(""https://docs.google.com/spreadsheets/d/1T5rRTzFc79aSIvqnzkZNvwPstq829QYz_xALlO1Z0s8/edi"&amp;"t?usp=share_link"",""นครศรีธรรมราช!J627"")+IMPORTRANGE(""https://docs.google.com/spreadsheets/d/1BeghqumK0IvCmRd2QOy6_afsZq7ZtAGrSnVJy2u7WmY/edit?usp=share_link"",""นราธิวาส!J627"")+IMPORTRANGE(""https://docs.google.com/spreadsheets/d/1IwnW3-jjRf74MCLW-6P"&amp;"iFwMUffRQXZwZA7YM609NmRc/edit?usp=share_link"",""ปัตตานี!J627"")+IMPORTRANGE(""https://docs.google.com/spreadsheets/d/1vl4QWbWdFruual5o_wdo6ZSqXZ_it806oja4CctTLKs/edit?usp=share_link"",""พังงา!J627"")+IMPORTRANGE(""https://docs.google.com/spreadsheets/d/1"&amp;"b6QssHQp2FoAPSMKHOy273KNzAomaIKhtdlvuZ_zDNE/edit?usp=share_link"",""พัทลุง!J627"")+IMPORTRANGE(""https://docs.google.com/spreadsheets/d/1o7UZe4_OqlqtLDHrj01Z2YFRSZDf1DMy1n3XViHaxRc/edit?usp=share_link"",""ภูเก็ต!J627"")+IMPORTRANGE(""https://docs.google.c"&amp;"om/spreadsheets/d/1ctPm1vUzcUCPuOj9-eoHUD85PqINFqUB0TjdSWmR5-c/edit?usp=share_link"",""ยะลา!J627"")+IMPORTRANGE(""https://docs.google.com/spreadsheets/d/1YiDIE7Klmt8osgdapRqYWNr7iPGFSsiJqq46S7PYRE0/edit?usp=share_link"",""ระนอง!J627"")+IMPORTRANGE(""https"&amp;"://docs.google.com/spreadsheets/d/16o_4B-V7AWw_6E93bSpXj_XxVv1oVQctk-B6z1dNEWU/edit?usp=share_link"",""สงขลา!J627"")+IMPORTRANGE(""https://docs.google.com/spreadsheets/d/16cywr71Fj4fA5OGRHsZh30ZG2gwJhMAQv69oVBzYHv0/edit?usp=share_link"",""สตูล!J627"")+IMP"&amp;"ORTRANGE(""https://docs.google.com/spreadsheets/d/1vO9Sws6kMtrVtyvrAJptINXjK8TFBoX9xLYOVK_C8bQ/edit?usp=share_link"",""สุราษฎร์ธานี!J627"")"),0)</f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20.25" customHeight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98">I651</f>
        <v>324</v>
      </c>
      <c r="J628" s="740">
        <f t="shared" ca="1" si="298"/>
        <v>81</v>
      </c>
      <c r="K628" s="741">
        <f ca="1">IF(I628&gt;0,J628*100/I628,0)</f>
        <v>25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20.25" customHeight="1">
      <c r="A629" s="596"/>
      <c r="B629" s="575"/>
      <c r="C629" s="575" t="s">
        <v>16</v>
      </c>
      <c r="D629" s="848" t="s">
        <v>17</v>
      </c>
      <c r="E629" s="842"/>
      <c r="F629" s="842"/>
      <c r="G629" s="189"/>
      <c r="H629" s="597" t="s">
        <v>12</v>
      </c>
      <c r="I629" s="37"/>
      <c r="J629" s="37"/>
      <c r="K629" s="38"/>
      <c r="L629" s="195">
        <f t="shared" ref="L629:N629" ca="1" si="299">L630+L631</f>
        <v>1558770</v>
      </c>
      <c r="M629" s="195">
        <f t="shared" ca="1" si="299"/>
        <v>1558770</v>
      </c>
      <c r="N629" s="195">
        <f t="shared" ca="1" si="299"/>
        <v>559120.30000000005</v>
      </c>
      <c r="O629" s="195">
        <f t="shared" ref="O629:O634" ca="1" si="300">IF(L629&gt;0,N629*100/L629,0)</f>
        <v>35.869326456116042</v>
      </c>
      <c r="P629" s="195">
        <f t="shared" ref="P629:P634" ca="1" si="301">IF(M629&gt;0,N629*100/M629,0)</f>
        <v>35.869326456116042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20.25" hidden="1" customHeight="1">
      <c r="A630" s="598"/>
      <c r="B630" s="599"/>
      <c r="C630" s="599"/>
      <c r="D630" s="600"/>
      <c r="E630" s="601" t="s">
        <v>185</v>
      </c>
      <c r="F630" s="599"/>
      <c r="G630" s="602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20.25" hidden="1" customHeight="1">
      <c r="A631" s="598"/>
      <c r="B631" s="604"/>
      <c r="C631" s="599"/>
      <c r="D631" s="600"/>
      <c r="E631" s="601" t="s">
        <v>186</v>
      </c>
      <c r="F631" s="599"/>
      <c r="G631" s="602"/>
      <c r="H631" s="165" t="s">
        <v>12</v>
      </c>
      <c r="I631" s="44"/>
      <c r="J631" s="44"/>
      <c r="K631" s="45"/>
      <c r="L631" s="45">
        <f t="shared" ref="L631:N631" ca="1" si="303">L634+L641</f>
        <v>1558770</v>
      </c>
      <c r="M631" s="45">
        <f t="shared" ca="1" si="303"/>
        <v>1558770</v>
      </c>
      <c r="N631" s="45">
        <f t="shared" ca="1" si="303"/>
        <v>559120.30000000005</v>
      </c>
      <c r="O631" s="45">
        <f t="shared" ca="1" si="300"/>
        <v>35.869326456116042</v>
      </c>
      <c r="P631" s="45">
        <f t="shared" ca="1" si="301"/>
        <v>35.869326456116042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20.25" customHeight="1">
      <c r="A632" s="596"/>
      <c r="B632" s="574"/>
      <c r="C632" s="575"/>
      <c r="D632" s="605" t="s">
        <v>20</v>
      </c>
      <c r="E632" s="575"/>
      <c r="F632" s="575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1558770</v>
      </c>
      <c r="M632" s="38">
        <f t="shared" ca="1" si="304"/>
        <v>1558770</v>
      </c>
      <c r="N632" s="38">
        <f t="shared" ca="1" si="304"/>
        <v>559120.30000000005</v>
      </c>
      <c r="O632" s="38">
        <f t="shared" ca="1" si="300"/>
        <v>35.869326456116042</v>
      </c>
      <c r="P632" s="38">
        <f t="shared" ca="1" si="301"/>
        <v>35.869326456116042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20.25" hidden="1" customHeight="1">
      <c r="A633" s="598"/>
      <c r="B633" s="604"/>
      <c r="C633" s="599"/>
      <c r="D633" s="600"/>
      <c r="E633" s="601" t="s">
        <v>185</v>
      </c>
      <c r="F633" s="599"/>
      <c r="G633" s="602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20.25" hidden="1" customHeight="1">
      <c r="A634" s="598"/>
      <c r="B634" s="604"/>
      <c r="C634" s="599"/>
      <c r="D634" s="600"/>
      <c r="E634" s="601" t="s">
        <v>186</v>
      </c>
      <c r="F634" s="599"/>
      <c r="G634" s="602"/>
      <c r="H634" s="165" t="s">
        <v>12</v>
      </c>
      <c r="I634" s="44"/>
      <c r="J634" s="44"/>
      <c r="K634" s="45"/>
      <c r="L634" s="45">
        <f ca="1">IFERROR(__xludf.DUMMYFUNCTION("IMPORTRANGE(""https://docs.google.com/spreadsheets/d/1kC41EOXpGBFOW658Fs3oD8beYlym0-zO54WY-2Qnp9I/edit?usp=share_link"",""กระบี่!L634"")
+IMPORTRANGE(""https://docs.google.com/spreadsheets/d/1FbzMZY_f3MDiEuK7RpCQKrilJ_kpX0Wm7QBZ1L7EjIU/edit?usp=share_link"&amp;""",""ชุมพร!L634"")+IMPORTRANGE(""https://docs.google.com/spreadsheets/d/1v5sN-00LrXuhBxw4dkh2GrG_z4l5oAqOdJRBCsUyMaM/edit?usp=share_link"",""ตรัง!L634"")+IMPORTRANGE(""https://docs.google.com/spreadsheets/d/1T5rRTzFc79aSIvqnzkZNvwPstq829QYz_xALlO1Z0s8/edi"&amp;"t?usp=share_link"",""นครศรีธรรมราช!L634"")+IMPORTRANGE(""https://docs.google.com/spreadsheets/d/1BeghqumK0IvCmRd2QOy6_afsZq7ZtAGrSnVJy2u7WmY/edit?usp=share_link"",""นราธิวาส!L634"")+IMPORTRANGE(""https://docs.google.com/spreadsheets/d/1IwnW3-jjRf74MCLW-6P"&amp;"iFwMUffRQXZwZA7YM609NmRc/edit?usp=share_link"",""ปัตตานี!L634"")+IMPORTRANGE(""https://docs.google.com/spreadsheets/d/1vl4QWbWdFruual5o_wdo6ZSqXZ_it806oja4CctTLKs/edit?usp=share_link"",""พังงา!L634"")+IMPORTRANGE(""https://docs.google.com/spreadsheets/d/1"&amp;"b6QssHQp2FoAPSMKHOy273KNzAomaIKhtdlvuZ_zDNE/edit?usp=share_link"",""พัทลุง!L634"")+IMPORTRANGE(""https://docs.google.com/spreadsheets/d/1o7UZe4_OqlqtLDHrj01Z2YFRSZDf1DMy1n3XViHaxRc/edit?usp=share_link"",""ภูเก็ต!L634"")+IMPORTRANGE(""https://docs.google.c"&amp;"om/spreadsheets/d/1ctPm1vUzcUCPuOj9-eoHUD85PqINFqUB0TjdSWmR5-c/edit?usp=share_link"",""ยะลา!L634"")+IMPORTRANGE(""https://docs.google.com/spreadsheets/d/1YiDIE7Klmt8osgdapRqYWNr7iPGFSsiJqq46S7PYRE0/edit?usp=share_link"",""ระนอง!L634"")+IMPORTRANGE(""https"&amp;"://docs.google.com/spreadsheets/d/16o_4B-V7AWw_6E93bSpXj_XxVv1oVQctk-B6z1dNEWU/edit?usp=share_link"",""สงขลา!L634"")+IMPORTRANGE(""https://docs.google.com/spreadsheets/d/16cywr71Fj4fA5OGRHsZh30ZG2gwJhMAQv69oVBzYHv0/edit?usp=share_link"",""สตูล!L634"")+IMP"&amp;"ORTRANGE(""https://docs.google.com/spreadsheets/d/1vO9Sws6kMtrVtyvrAJptINXjK8TFBoX9xLYOVK_C8bQ/edit?usp=share_link"",""สุราษฎร์ธานี!L634"")"),1558770)</f>
        <v>1558770</v>
      </c>
      <c r="M634" s="93">
        <f ca="1">IFERROR(__xludf.DUMMYFUNCTION("IMPORTRANGE(""https://docs.google.com/spreadsheets/d/1kC41EOXpGBFOW658Fs3oD8beYlym0-zO54WY-2Qnp9I/edit?usp=share_link"",""กระบี่!M634"")
+IMPORTRANGE(""https://docs.google.com/spreadsheets/d/1FbzMZY_f3MDiEuK7RpCQKrilJ_kpX0Wm7QBZ1L7EjIU/edit?usp=share_link"&amp;""",""ชุมพร!M634"")+IMPORTRANGE(""https://docs.google.com/spreadsheets/d/1v5sN-00LrXuhBxw4dkh2GrG_z4l5oAqOdJRBCsUyMaM/edit?usp=share_link"",""ตรัง!M634"")+IMPORTRANGE(""https://docs.google.com/spreadsheets/d/1T5rRTzFc79aSIvqnzkZNvwPstq829QYz_xALlO1Z0s8/edi"&amp;"t?usp=share_link"",""นครศรีธรรมราช!M634"")+IMPORTRANGE(""https://docs.google.com/spreadsheets/d/1BeghqumK0IvCmRd2QOy6_afsZq7ZtAGrSnVJy2u7WmY/edit?usp=share_link"",""นราธิวาส!M634"")+IMPORTRANGE(""https://docs.google.com/spreadsheets/d/1IwnW3-jjRf74MCLW-6P"&amp;"iFwMUffRQXZwZA7YM609NmRc/edit?usp=share_link"",""ปัตตานี!M634"")+IMPORTRANGE(""https://docs.google.com/spreadsheets/d/1vl4QWbWdFruual5o_wdo6ZSqXZ_it806oja4CctTLKs/edit?usp=share_link"",""พังงา!M634"")+IMPORTRANGE(""https://docs.google.com/spreadsheets/d/1"&amp;"b6QssHQp2FoAPSMKHOy273KNzAomaIKhtdlvuZ_zDNE/edit?usp=share_link"",""พัทลุง!M634"")+IMPORTRANGE(""https://docs.google.com/spreadsheets/d/1o7UZe4_OqlqtLDHrj01Z2YFRSZDf1DMy1n3XViHaxRc/edit?usp=share_link"",""ภูเก็ต!M634"")+IMPORTRANGE(""https://docs.google.c"&amp;"om/spreadsheets/d/1ctPm1vUzcUCPuOj9-eoHUD85PqINFqUB0TjdSWmR5-c/edit?usp=share_link"",""ยะลา!M634"")+IMPORTRANGE(""https://docs.google.com/spreadsheets/d/1YiDIE7Klmt8osgdapRqYWNr7iPGFSsiJqq46S7PYRE0/edit?usp=share_link"",""ระนอง!M634"")+IMPORTRANGE(""https"&amp;"://docs.google.com/spreadsheets/d/16o_4B-V7AWw_6E93bSpXj_XxVv1oVQctk-B6z1dNEWU/edit?usp=share_link"",""สงขลา!M634"")+IMPORTRANGE(""https://docs.google.com/spreadsheets/d/16cywr71Fj4fA5OGRHsZh30ZG2gwJhMAQv69oVBzYHv0/edit?usp=share_link"",""สตูล!M634"")+IMP"&amp;"ORTRANGE(""https://docs.google.com/spreadsheets/d/1vO9Sws6kMtrVtyvrAJptINXjK8TFBoX9xLYOVK_C8bQ/edit?usp=share_link"",""สุราษฎร์ธานี!M634"")"),1558770)</f>
        <v>1558770</v>
      </c>
      <c r="N634" s="45">
        <f ca="1">N635+N636+N637+N638</f>
        <v>559120.30000000005</v>
      </c>
      <c r="O634" s="45">
        <f t="shared" ca="1" si="300"/>
        <v>35.869326456116042</v>
      </c>
      <c r="P634" s="45">
        <f t="shared" ca="1" si="301"/>
        <v>35.869326456116042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20.25" customHeight="1">
      <c r="A635" s="573"/>
      <c r="B635" s="574"/>
      <c r="C635" s="575"/>
      <c r="D635" s="575"/>
      <c r="E635" s="575"/>
      <c r="F635" s="576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IFERROR(__xludf.DUMMYFUNCTION("IMPORTRANGE(""https://docs.google.com/spreadsheets/d/1kC41EOXpGBFOW658Fs3oD8beYlym0-zO54WY-2Qnp9I/edit?usp=share_link"",""กระบี่!N635"")
+IMPORTRANGE(""https://docs.google.com/spreadsheets/d/1FbzMZY_f3MDiEuK7RpCQKrilJ_kpX0Wm7QBZ1L7EjIU/edit?usp=share_link"&amp;""",""ชุมพร!N635"")+IMPORTRANGE(""https://docs.google.com/spreadsheets/d/1v5sN-00LrXuhBxw4dkh2GrG_z4l5oAqOdJRBCsUyMaM/edit?usp=share_link"",""ตรัง!N635"")+IMPORTRANGE(""https://docs.google.com/spreadsheets/d/1T5rRTzFc79aSIvqnzkZNvwPstq829QYz_xALlO1Z0s8/edi"&amp;"t?usp=share_link"",""นครศรีธรรมราช!N635"")+IMPORTRANGE(""https://docs.google.com/spreadsheets/d/1BeghqumK0IvCmRd2QOy6_afsZq7ZtAGrSnVJy2u7WmY/edit?usp=share_link"",""นราธิวาส!N635"")+IMPORTRANGE(""https://docs.google.com/spreadsheets/d/1IwnW3-jjRf74MCLW-6P"&amp;"iFwMUffRQXZwZA7YM609NmRc/edit?usp=share_link"",""ปัตตานี!N635"")+IMPORTRANGE(""https://docs.google.com/spreadsheets/d/1vl4QWbWdFruual5o_wdo6ZSqXZ_it806oja4CctTLKs/edit?usp=share_link"",""พังงา!N635"")+IMPORTRANGE(""https://docs.google.com/spreadsheets/d/1"&amp;"b6QssHQp2FoAPSMKHOy273KNzAomaIKhtdlvuZ_zDNE/edit?usp=share_link"",""พัทลุง!N635"")+IMPORTRANGE(""https://docs.google.com/spreadsheets/d/1o7UZe4_OqlqtLDHrj01Z2YFRSZDf1DMy1n3XViHaxRc/edit?usp=share_link"",""ภูเก็ต!N635"")+IMPORTRANGE(""https://docs.google.c"&amp;"om/spreadsheets/d/1ctPm1vUzcUCPuOj9-eoHUD85PqINFqUB0TjdSWmR5-c/edit?usp=share_link"",""ยะลา!N635"")+IMPORTRANGE(""https://docs.google.com/spreadsheets/d/1YiDIE7Klmt8osgdapRqYWNr7iPGFSsiJqq46S7PYRE0/edit?usp=share_link"",""ระนอง!N635"")+IMPORTRANGE(""https"&amp;"://docs.google.com/spreadsheets/d/16o_4B-V7AWw_6E93bSpXj_XxVv1oVQctk-B6z1dNEWU/edit?usp=share_link"",""สงขลา!N635"")+IMPORTRANGE(""https://docs.google.com/spreadsheets/d/16cywr71Fj4fA5OGRHsZh30ZG2gwJhMAQv69oVBzYHv0/edit?usp=share_link"",""สตูล!N635"")+IMP"&amp;"ORTRANGE(""https://docs.google.com/spreadsheets/d/1vO9Sws6kMtrVtyvrAJptINXjK8TFBoX9xLYOVK_C8bQ/edit?usp=share_link"",""สุราษฎร์ธานี!N635"")"),0)</f>
        <v>0</v>
      </c>
      <c r="O635" s="38"/>
      <c r="P635" s="3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20.25" customHeight="1">
      <c r="A636" s="573"/>
      <c r="B636" s="574"/>
      <c r="C636" s="575"/>
      <c r="D636" s="575"/>
      <c r="E636" s="575"/>
      <c r="F636" s="576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IFERROR(__xludf.DUMMYFUNCTION("IMPORTRANGE(""https://docs.google.com/spreadsheets/d/1kC41EOXpGBFOW658Fs3oD8beYlym0-zO54WY-2Qnp9I/edit?usp=share_link"",""กระบี่!N636"")
+IMPORTRANGE(""https://docs.google.com/spreadsheets/d/1FbzMZY_f3MDiEuK7RpCQKrilJ_kpX0Wm7QBZ1L7EjIU/edit?usp=share_link"&amp;""",""ชุมพร!N636"")+IMPORTRANGE(""https://docs.google.com/spreadsheets/d/1v5sN-00LrXuhBxw4dkh2GrG_z4l5oAqOdJRBCsUyMaM/edit?usp=share_link"",""ตรัง!N636"")+IMPORTRANGE(""https://docs.google.com/spreadsheets/d/1T5rRTzFc79aSIvqnzkZNvwPstq829QYz_xALlO1Z0s8/edi"&amp;"t?usp=share_link"",""นครศรีธรรมราช!N636"")+IMPORTRANGE(""https://docs.google.com/spreadsheets/d/1BeghqumK0IvCmRd2QOy6_afsZq7ZtAGrSnVJy2u7WmY/edit?usp=share_link"",""นราธิวาส!N636"")+IMPORTRANGE(""https://docs.google.com/spreadsheets/d/1IwnW3-jjRf74MCLW-6P"&amp;"iFwMUffRQXZwZA7YM609NmRc/edit?usp=share_link"",""ปัตตานี!N636"")+IMPORTRANGE(""https://docs.google.com/spreadsheets/d/1vl4QWbWdFruual5o_wdo6ZSqXZ_it806oja4CctTLKs/edit?usp=share_link"",""พังงา!N636"")+IMPORTRANGE(""https://docs.google.com/spreadsheets/d/1"&amp;"b6QssHQp2FoAPSMKHOy273KNzAomaIKhtdlvuZ_zDNE/edit?usp=share_link"",""พัทลุง!N636"")+IMPORTRANGE(""https://docs.google.com/spreadsheets/d/1o7UZe4_OqlqtLDHrj01Z2YFRSZDf1DMy1n3XViHaxRc/edit?usp=share_link"",""ภูเก็ต!N636"")+IMPORTRANGE(""https://docs.google.c"&amp;"om/spreadsheets/d/1ctPm1vUzcUCPuOj9-eoHUD85PqINFqUB0TjdSWmR5-c/edit?usp=share_link"",""ยะลา!N636"")+IMPORTRANGE(""https://docs.google.com/spreadsheets/d/1YiDIE7Klmt8osgdapRqYWNr7iPGFSsiJqq46S7PYRE0/edit?usp=share_link"",""ระนอง!N636"")+IMPORTRANGE(""https"&amp;"://docs.google.com/spreadsheets/d/16o_4B-V7AWw_6E93bSpXj_XxVv1oVQctk-B6z1dNEWU/edit?usp=share_link"",""สงขลา!N636"")+IMPORTRANGE(""https://docs.google.com/spreadsheets/d/16cywr71Fj4fA5OGRHsZh30ZG2gwJhMAQv69oVBzYHv0/edit?usp=share_link"",""สตูล!N636"")+IMP"&amp;"ORTRANGE(""https://docs.google.com/spreadsheets/d/1vO9Sws6kMtrVtyvrAJptINXjK8TFBoX9xLYOVK_C8bQ/edit?usp=share_link"",""สุราษฎร์ธานี!N636"")"),0)</f>
        <v>0</v>
      </c>
      <c r="O636" s="38"/>
      <c r="P636" s="3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20.25" customHeight="1">
      <c r="A637" s="573"/>
      <c r="B637" s="574"/>
      <c r="C637" s="575"/>
      <c r="D637" s="575"/>
      <c r="E637" s="575"/>
      <c r="F637" s="576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IFERROR(__xludf.DUMMYFUNCTION("IMPORTRANGE(""https://docs.google.com/spreadsheets/d/1kC41EOXpGBFOW658Fs3oD8beYlym0-zO54WY-2Qnp9I/edit?usp=share_link"",""กระบี่!N637"")
+IMPORTRANGE(""https://docs.google.com/spreadsheets/d/1FbzMZY_f3MDiEuK7RpCQKrilJ_kpX0Wm7QBZ1L7EjIU/edit?usp=share_link"&amp;""",""ชุมพร!N637"")+IMPORTRANGE(""https://docs.google.com/spreadsheets/d/1v5sN-00LrXuhBxw4dkh2GrG_z4l5oAqOdJRBCsUyMaM/edit?usp=share_link"",""ตรัง!N637"")+IMPORTRANGE(""https://docs.google.com/spreadsheets/d/1T5rRTzFc79aSIvqnzkZNvwPstq829QYz_xALlO1Z0s8/edi"&amp;"t?usp=share_link"",""นครศรีธรรมราช!N637"")+IMPORTRANGE(""https://docs.google.com/spreadsheets/d/1BeghqumK0IvCmRd2QOy6_afsZq7ZtAGrSnVJy2u7WmY/edit?usp=share_link"",""นราธิวาส!N637"")+IMPORTRANGE(""https://docs.google.com/spreadsheets/d/1IwnW3-jjRf74MCLW-6P"&amp;"iFwMUffRQXZwZA7YM609NmRc/edit?usp=share_link"",""ปัตตานี!N637"")+IMPORTRANGE(""https://docs.google.com/spreadsheets/d/1vl4QWbWdFruual5o_wdo6ZSqXZ_it806oja4CctTLKs/edit?usp=share_link"",""พังงา!N637"")+IMPORTRANGE(""https://docs.google.com/spreadsheets/d/1"&amp;"b6QssHQp2FoAPSMKHOy273KNzAomaIKhtdlvuZ_zDNE/edit?usp=share_link"",""พัทลุง!N637"")+IMPORTRANGE(""https://docs.google.com/spreadsheets/d/1o7UZe4_OqlqtLDHrj01Z2YFRSZDf1DMy1n3XViHaxRc/edit?usp=share_link"",""ภูเก็ต!N637"")+IMPORTRANGE(""https://docs.google.c"&amp;"om/spreadsheets/d/1ctPm1vUzcUCPuOj9-eoHUD85PqINFqUB0TjdSWmR5-c/edit?usp=share_link"",""ยะลา!N637"")+IMPORTRANGE(""https://docs.google.com/spreadsheets/d/1YiDIE7Klmt8osgdapRqYWNr7iPGFSsiJqq46S7PYRE0/edit?usp=share_link"",""ระนอง!N637"")+IMPORTRANGE(""https"&amp;"://docs.google.com/spreadsheets/d/16o_4B-V7AWw_6E93bSpXj_XxVv1oVQctk-B6z1dNEWU/edit?usp=share_link"",""สงขลา!N637"")+IMPORTRANGE(""https://docs.google.com/spreadsheets/d/16cywr71Fj4fA5OGRHsZh30ZG2gwJhMAQv69oVBzYHv0/edit?usp=share_link"",""สตูล!N637"")+IMP"&amp;"ORTRANGE(""https://docs.google.com/spreadsheets/d/1vO9Sws6kMtrVtyvrAJptINXjK8TFBoX9xLYOVK_C8bQ/edit?usp=share_link"",""สุราษฎร์ธานี!N637"")"),217212.66)</f>
        <v>217212.66</v>
      </c>
      <c r="O637" s="38"/>
      <c r="P637" s="3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20.25" customHeight="1">
      <c r="A638" s="573"/>
      <c r="B638" s="574"/>
      <c r="C638" s="575"/>
      <c r="D638" s="575"/>
      <c r="E638" s="575"/>
      <c r="F638" s="576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IFERROR(__xludf.DUMMYFUNCTION("IMPORTRANGE(""https://docs.google.com/spreadsheets/d/1kC41EOXpGBFOW658Fs3oD8beYlym0-zO54WY-2Qnp9I/edit?usp=share_link"",""กระบี่!N638"")
+IMPORTRANGE(""https://docs.google.com/spreadsheets/d/1FbzMZY_f3MDiEuK7RpCQKrilJ_kpX0Wm7QBZ1L7EjIU/edit?usp=share_link"&amp;""",""ชุมพร!N638"")+IMPORTRANGE(""https://docs.google.com/spreadsheets/d/1v5sN-00LrXuhBxw4dkh2GrG_z4l5oAqOdJRBCsUyMaM/edit?usp=share_link"",""ตรัง!N638"")+IMPORTRANGE(""https://docs.google.com/spreadsheets/d/1T5rRTzFc79aSIvqnzkZNvwPstq829QYz_xALlO1Z0s8/edi"&amp;"t?usp=share_link"",""นครศรีธรรมราช!N638"")+IMPORTRANGE(""https://docs.google.com/spreadsheets/d/1BeghqumK0IvCmRd2QOy6_afsZq7ZtAGrSnVJy2u7WmY/edit?usp=share_link"",""นราธิวาส!N638"")+IMPORTRANGE(""https://docs.google.com/spreadsheets/d/1IwnW3-jjRf74MCLW-6P"&amp;"iFwMUffRQXZwZA7YM609NmRc/edit?usp=share_link"",""ปัตตานี!N638"")+IMPORTRANGE(""https://docs.google.com/spreadsheets/d/1vl4QWbWdFruual5o_wdo6ZSqXZ_it806oja4CctTLKs/edit?usp=share_link"",""พังงา!N638"")+IMPORTRANGE(""https://docs.google.com/spreadsheets/d/1"&amp;"b6QssHQp2FoAPSMKHOy273KNzAomaIKhtdlvuZ_zDNE/edit?usp=share_link"",""พัทลุง!N638"")+IMPORTRANGE(""https://docs.google.com/spreadsheets/d/1o7UZe4_OqlqtLDHrj01Z2YFRSZDf1DMy1n3XViHaxRc/edit?usp=share_link"",""ภูเก็ต!N638"")+IMPORTRANGE(""https://docs.google.c"&amp;"om/spreadsheets/d/1ctPm1vUzcUCPuOj9-eoHUD85PqINFqUB0TjdSWmR5-c/edit?usp=share_link"",""ยะลา!N638"")+IMPORTRANGE(""https://docs.google.com/spreadsheets/d/1YiDIE7Klmt8osgdapRqYWNr7iPGFSsiJqq46S7PYRE0/edit?usp=share_link"",""ระนอง!N638"")+IMPORTRANGE(""https"&amp;"://docs.google.com/spreadsheets/d/16o_4B-V7AWw_6E93bSpXj_XxVv1oVQctk-B6z1dNEWU/edit?usp=share_link"",""สงขลา!N638"")+IMPORTRANGE(""https://docs.google.com/spreadsheets/d/16cywr71Fj4fA5OGRHsZh30ZG2gwJhMAQv69oVBzYHv0/edit?usp=share_link"",""สตูล!N638"")+IMP"&amp;"ORTRANGE(""https://docs.google.com/spreadsheets/d/1vO9Sws6kMtrVtyvrAJptINXjK8TFBoX9xLYOVK_C8bQ/edit?usp=share_link"",""สุราษฎร์ธานี!N638"")"),341907.64)</f>
        <v>341907.64</v>
      </c>
      <c r="O638" s="38"/>
      <c r="P638" s="3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20.25" customHeight="1">
      <c r="A639" s="596"/>
      <c r="B639" s="574"/>
      <c r="C639" s="575"/>
      <c r="D639" s="605" t="s">
        <v>21</v>
      </c>
      <c r="E639" s="575"/>
      <c r="F639" s="575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20.25" hidden="1" customHeight="1">
      <c r="A640" s="598"/>
      <c r="B640" s="604"/>
      <c r="C640" s="599"/>
      <c r="D640" s="599"/>
      <c r="E640" s="601" t="s">
        <v>18</v>
      </c>
      <c r="F640" s="599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20.25" hidden="1" customHeight="1">
      <c r="A641" s="598"/>
      <c r="B641" s="604"/>
      <c r="C641" s="599"/>
      <c r="D641" s="599"/>
      <c r="E641" s="601" t="s">
        <v>19</v>
      </c>
      <c r="F641" s="599"/>
      <c r="G641" s="602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IFERROR(__xludf.DUMMYFUNCTION("IMPORTRANGE(""https://docs.google.com/spreadsheets/d/1kC41EOXpGBFOW658Fs3oD8beYlym0-zO54WY-2Qnp9I/edit?usp=share_link"",""กระบี่!L641"")
+IMPORTRANGE(""https://docs.google.com/spreadsheets/d/1FbzMZY_f3MDiEuK7RpCQKrilJ_kpX0Wm7QBZ1L7EjIU/edit?usp=share_link"&amp;""",""ชุมพร!L641"")+IMPORTRANGE(""https://docs.google.com/spreadsheets/d/1v5sN-00LrXuhBxw4dkh2GrG_z4l5oAqOdJRBCsUyMaM/edit?usp=share_link"",""ตรัง!L641"")+IMPORTRANGE(""https://docs.google.com/spreadsheets/d/1T5rRTzFc79aSIvqnzkZNvwPstq829QYz_xALlO1Z0s8/edi"&amp;"t?usp=share_link"",""นครศรีธรรมราช!L641"")+IMPORTRANGE(""https://docs.google.com/spreadsheets/d/1BeghqumK0IvCmRd2QOy6_afsZq7ZtAGrSnVJy2u7WmY/edit?usp=share_link"",""นราธิวาส!L641"")+IMPORTRANGE(""https://docs.google.com/spreadsheets/d/1IwnW3-jjRf74MCLW-6P"&amp;"iFwMUffRQXZwZA7YM609NmRc/edit?usp=share_link"",""ปัตตานี!L641"")+IMPORTRANGE(""https://docs.google.com/spreadsheets/d/1vl4QWbWdFruual5o_wdo6ZSqXZ_it806oja4CctTLKs/edit?usp=share_link"",""พังงา!L641"")+IMPORTRANGE(""https://docs.google.com/spreadsheets/d/1"&amp;"b6QssHQp2FoAPSMKHOy273KNzAomaIKhtdlvuZ_zDNE/edit?usp=share_link"",""พัทลุง!L641"")+IMPORTRANGE(""https://docs.google.com/spreadsheets/d/1o7UZe4_OqlqtLDHrj01Z2YFRSZDf1DMy1n3XViHaxRc/edit?usp=share_link"",""ภูเก็ต!L641"")+IMPORTRANGE(""https://docs.google.c"&amp;"om/spreadsheets/d/1ctPm1vUzcUCPuOj9-eoHUD85PqINFqUB0TjdSWmR5-c/edit?usp=share_link"",""ยะลา!L641"")+IMPORTRANGE(""https://docs.google.com/spreadsheets/d/1YiDIE7Klmt8osgdapRqYWNr7iPGFSsiJqq46S7PYRE0/edit?usp=share_link"",""ระนอง!L641"")+IMPORTRANGE(""https"&amp;"://docs.google.com/spreadsheets/d/16o_4B-V7AWw_6E93bSpXj_XxVv1oVQctk-B6z1dNEWU/edit?usp=share_link"",""สงขลา!L641"")+IMPORTRANGE(""https://docs.google.com/spreadsheets/d/16cywr71Fj4fA5OGRHsZh30ZG2gwJhMAQv69oVBzYHv0/edit?usp=share_link"",""สตูล!L641"")+IMP"&amp;"ORTRANGE(""https://docs.google.com/spreadsheets/d/1vO9Sws6kMtrVtyvrAJptINXjK8TFBoX9xLYOVK_C8bQ/edit?usp=share_link"",""สุราษฎร์ธานี!L641"")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20.25" customHeight="1">
      <c r="A642" s="607"/>
      <c r="B642" s="608"/>
      <c r="C642" s="575" t="s">
        <v>16</v>
      </c>
      <c r="D642" s="678" t="s">
        <v>38</v>
      </c>
      <c r="E642" s="611"/>
      <c r="F642" s="611"/>
      <c r="G642" s="612"/>
      <c r="H642" s="175"/>
      <c r="I642" s="162"/>
      <c r="J642" s="162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20.25" customHeight="1">
      <c r="A643" s="743"/>
      <c r="B643" s="574"/>
      <c r="C643" s="575"/>
      <c r="D643" s="618"/>
      <c r="E643" s="744" t="s">
        <v>272</v>
      </c>
      <c r="F643" s="618"/>
      <c r="G643" s="175"/>
      <c r="H643" s="449" t="s">
        <v>273</v>
      </c>
      <c r="I643" s="270">
        <f ca="1">IFERROR(__xludf.DUMMYFUNCTION("IMPORTRANGE(""https://docs.google.com/spreadsheets/d/1kC41EOXpGBFOW658Fs3oD8beYlym0-zO54WY-2Qnp9I/edit?usp=share_link"",""กระบี่!I643"")
+IMPORTRANGE(""https://docs.google.com/spreadsheets/d/1FbzMZY_f3MDiEuK7RpCQKrilJ_kpX0Wm7QBZ1L7EjIU/edit?usp=share_link"&amp;""",""ชุมพร!I643"")+IMPORTRANGE(""https://docs.google.com/spreadsheets/d/1v5sN-00LrXuhBxw4dkh2GrG_z4l5oAqOdJRBCsUyMaM/edit?usp=share_link"",""ตรัง!I643"")+IMPORTRANGE(""https://docs.google.com/spreadsheets/d/1T5rRTzFc79aSIvqnzkZNvwPstq829QYz_xALlO1Z0s8/edi"&amp;"t?usp=share_link"",""นครศรีธรรมราช!I643"")+IMPORTRANGE(""https://docs.google.com/spreadsheets/d/1BeghqumK0IvCmRd2QOy6_afsZq7ZtAGrSnVJy2u7WmY/edit?usp=share_link"",""นราธิวาส!I643"")+IMPORTRANGE(""https://docs.google.com/spreadsheets/d/1IwnW3-jjRf74MCLW-6P"&amp;"iFwMUffRQXZwZA7YM609NmRc/edit?usp=share_link"",""ปัตตานี!I643"")+IMPORTRANGE(""https://docs.google.com/spreadsheets/d/1vl4QWbWdFruual5o_wdo6ZSqXZ_it806oja4CctTLKs/edit?usp=share_link"",""พังงา!I643"")+IMPORTRANGE(""https://docs.google.com/spreadsheets/d/1"&amp;"b6QssHQp2FoAPSMKHOy273KNzAomaIKhtdlvuZ_zDNE/edit?usp=share_link"",""พัทลุง!I643"")+IMPORTRANGE(""https://docs.google.com/spreadsheets/d/1o7UZe4_OqlqtLDHrj01Z2YFRSZDf1DMy1n3XViHaxRc/edit?usp=share_link"",""ภูเก็ต!I643"")+IMPORTRANGE(""https://docs.google.c"&amp;"om/spreadsheets/d/1ctPm1vUzcUCPuOj9-eoHUD85PqINFqUB0TjdSWmR5-c/edit?usp=share_link"",""ยะลา!I643"")+IMPORTRANGE(""https://docs.google.com/spreadsheets/d/1YiDIE7Klmt8osgdapRqYWNr7iPGFSsiJqq46S7PYRE0/edit?usp=share_link"",""ระนอง!I643"")+IMPORTRANGE(""https"&amp;"://docs.google.com/spreadsheets/d/16o_4B-V7AWw_6E93bSpXj_XxVv1oVQctk-B6z1dNEWU/edit?usp=share_link"",""สงขลา!I643"")+IMPORTRANGE(""https://docs.google.com/spreadsheets/d/16cywr71Fj4fA5OGRHsZh30ZG2gwJhMAQv69oVBzYHv0/edit?usp=share_link"",""สตูล!I643"")+IMP"&amp;"ORTRANGE(""https://docs.google.com/spreadsheets/d/1vO9Sws6kMtrVtyvrAJptINXjK8TFBoX9xLYOVK_C8bQ/edit?usp=share_link"",""สุราษฎร์ธานี!I643"")"),5)</f>
        <v>5</v>
      </c>
      <c r="J643" s="183">
        <f ca="1">IFERROR(__xludf.DUMMYFUNCTION("IMPORTRANGE(""https://docs.google.com/spreadsheets/d/1kC41EOXpGBFOW658Fs3oD8beYlym0-zO54WY-2Qnp9I/edit?usp=share_link"",""กระบี่!J643"")
+IMPORTRANGE(""https://docs.google.com/spreadsheets/d/1FbzMZY_f3MDiEuK7RpCQKrilJ_kpX0Wm7QBZ1L7EjIU/edit?usp=share_link"&amp;""",""ชุมพร!J643"")+IMPORTRANGE(""https://docs.google.com/spreadsheets/d/1v5sN-00LrXuhBxw4dkh2GrG_z4l5oAqOdJRBCsUyMaM/edit?usp=share_link"",""ตรัง!J643"")+IMPORTRANGE(""https://docs.google.com/spreadsheets/d/1T5rRTzFc79aSIvqnzkZNvwPstq829QYz_xALlO1Z0s8/edi"&amp;"t?usp=share_link"",""นครศรีธรรมราช!J643"")+IMPORTRANGE(""https://docs.google.com/spreadsheets/d/1BeghqumK0IvCmRd2QOy6_afsZq7ZtAGrSnVJy2u7WmY/edit?usp=share_link"",""นราธิวาส!J643"")+IMPORTRANGE(""https://docs.google.com/spreadsheets/d/1IwnW3-jjRf74MCLW-6P"&amp;"iFwMUffRQXZwZA7YM609NmRc/edit?usp=share_link"",""ปัตตานี!J643"")+IMPORTRANGE(""https://docs.google.com/spreadsheets/d/1vl4QWbWdFruual5o_wdo6ZSqXZ_it806oja4CctTLKs/edit?usp=share_link"",""พังงา!J643"")+IMPORTRANGE(""https://docs.google.com/spreadsheets/d/1"&amp;"b6QssHQp2FoAPSMKHOy273KNzAomaIKhtdlvuZ_zDNE/edit?usp=share_link"",""พัทลุง!J643"")+IMPORTRANGE(""https://docs.google.com/spreadsheets/d/1o7UZe4_OqlqtLDHrj01Z2YFRSZDf1DMy1n3XViHaxRc/edit?usp=share_link"",""ภูเก็ต!J643"")+IMPORTRANGE(""https://docs.google.c"&amp;"om/spreadsheets/d/1ctPm1vUzcUCPuOj9-eoHUD85PqINFqUB0TjdSWmR5-c/edit?usp=share_link"",""ยะลา!J643"")+IMPORTRANGE(""https://docs.google.com/spreadsheets/d/1YiDIE7Klmt8osgdapRqYWNr7iPGFSsiJqq46S7PYRE0/edit?usp=share_link"",""ระนอง!J643"")+IMPORTRANGE(""https"&amp;"://docs.google.com/spreadsheets/d/16o_4B-V7AWw_6E93bSpXj_XxVv1oVQctk-B6z1dNEWU/edit?usp=share_link"",""สงขลา!J643"")+IMPORTRANGE(""https://docs.google.com/spreadsheets/d/16cywr71Fj4fA5OGRHsZh30ZG2gwJhMAQv69oVBzYHv0/edit?usp=share_link"",""สตูล!J643"")+IMP"&amp;"ORTRANGE(""https://docs.google.com/spreadsheets/d/1vO9Sws6kMtrVtyvrAJptINXjK8TFBoX9xLYOVK_C8bQ/edit?usp=share_link"",""สุราษฎร์ธานี!J643"")"),3)</f>
        <v>3</v>
      </c>
      <c r="K643" s="163">
        <f t="shared" ref="K643:K652" ca="1" si="308">IF(I643&gt;0,J643*100/I643,0)</f>
        <v>60</v>
      </c>
      <c r="L643" s="163"/>
      <c r="M643" s="163"/>
      <c r="N643" s="3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20.25" customHeight="1">
      <c r="A644" s="743"/>
      <c r="B644" s="574"/>
      <c r="C644" s="575"/>
      <c r="D644" s="618"/>
      <c r="E644" s="744" t="s">
        <v>274</v>
      </c>
      <c r="F644" s="618"/>
      <c r="G644" s="175"/>
      <c r="H644" s="449" t="s">
        <v>275</v>
      </c>
      <c r="I644" s="270">
        <f ca="1">IFERROR(__xludf.DUMMYFUNCTION("IMPORTRANGE(""https://docs.google.com/spreadsheets/d/1kC41EOXpGBFOW658Fs3oD8beYlym0-zO54WY-2Qnp9I/edit?usp=share_link"",""กระบี่!I644"")
+IMPORTRANGE(""https://docs.google.com/spreadsheets/d/1FbzMZY_f3MDiEuK7RpCQKrilJ_kpX0Wm7QBZ1L7EjIU/edit?usp=share_link"&amp;""",""ชุมพร!I644"")+IMPORTRANGE(""https://docs.google.com/spreadsheets/d/1v5sN-00LrXuhBxw4dkh2GrG_z4l5oAqOdJRBCsUyMaM/edit?usp=share_link"",""ตรัง!I644"")+IMPORTRANGE(""https://docs.google.com/spreadsheets/d/1T5rRTzFc79aSIvqnzkZNvwPstq829QYz_xALlO1Z0s8/edi"&amp;"t?usp=share_link"",""นครศรีธรรมราช!I644"")+IMPORTRANGE(""https://docs.google.com/spreadsheets/d/1BeghqumK0IvCmRd2QOy6_afsZq7ZtAGrSnVJy2u7WmY/edit?usp=share_link"",""นราธิวาส!I644"")+IMPORTRANGE(""https://docs.google.com/spreadsheets/d/1IwnW3-jjRf74MCLW-6P"&amp;"iFwMUffRQXZwZA7YM609NmRc/edit?usp=share_link"",""ปัตตานี!I644"")+IMPORTRANGE(""https://docs.google.com/spreadsheets/d/1vl4QWbWdFruual5o_wdo6ZSqXZ_it806oja4CctTLKs/edit?usp=share_link"",""พังงา!I644"")+IMPORTRANGE(""https://docs.google.com/spreadsheets/d/1"&amp;"b6QssHQp2FoAPSMKHOy273KNzAomaIKhtdlvuZ_zDNE/edit?usp=share_link"",""พัทลุง!I644"")+IMPORTRANGE(""https://docs.google.com/spreadsheets/d/1o7UZe4_OqlqtLDHrj01Z2YFRSZDf1DMy1n3XViHaxRc/edit?usp=share_link"",""ภูเก็ต!I644"")+IMPORTRANGE(""https://docs.google.c"&amp;"om/spreadsheets/d/1ctPm1vUzcUCPuOj9-eoHUD85PqINFqUB0TjdSWmR5-c/edit?usp=share_link"",""ยะลา!I644"")+IMPORTRANGE(""https://docs.google.com/spreadsheets/d/1YiDIE7Klmt8osgdapRqYWNr7iPGFSsiJqq46S7PYRE0/edit?usp=share_link"",""ระนอง!I644"")+IMPORTRANGE(""https"&amp;"://docs.google.com/spreadsheets/d/16o_4B-V7AWw_6E93bSpXj_XxVv1oVQctk-B6z1dNEWU/edit?usp=share_link"",""สงขลา!I644"")+IMPORTRANGE(""https://docs.google.com/spreadsheets/d/16cywr71Fj4fA5OGRHsZh30ZG2gwJhMAQv69oVBzYHv0/edit?usp=share_link"",""สตูล!I644"")+IMP"&amp;"ORTRANGE(""https://docs.google.com/spreadsheets/d/1vO9Sws6kMtrVtyvrAJptINXjK8TFBoX9xLYOVK_C8bQ/edit?usp=share_link"",""สุราษฎร์ธานี!I644"")"),5)</f>
        <v>5</v>
      </c>
      <c r="J644" s="183">
        <f ca="1">IFERROR(__xludf.DUMMYFUNCTION("IMPORTRANGE(""https://docs.google.com/spreadsheets/d/1kC41EOXpGBFOW658Fs3oD8beYlym0-zO54WY-2Qnp9I/edit?usp=share_link"",""กระบี่!J644"")
+IMPORTRANGE(""https://docs.google.com/spreadsheets/d/1FbzMZY_f3MDiEuK7RpCQKrilJ_kpX0Wm7QBZ1L7EjIU/edit?usp=share_link"&amp;""",""ชุมพร!J644"")+IMPORTRANGE(""https://docs.google.com/spreadsheets/d/1v5sN-00LrXuhBxw4dkh2GrG_z4l5oAqOdJRBCsUyMaM/edit?usp=share_link"",""ตรัง!J644"")+IMPORTRANGE(""https://docs.google.com/spreadsheets/d/1T5rRTzFc79aSIvqnzkZNvwPstq829QYz_xALlO1Z0s8/edi"&amp;"t?usp=share_link"",""นครศรีธรรมราช!J644"")+IMPORTRANGE(""https://docs.google.com/spreadsheets/d/1BeghqumK0IvCmRd2QOy6_afsZq7ZtAGrSnVJy2u7WmY/edit?usp=share_link"",""นราธิวาส!J644"")+IMPORTRANGE(""https://docs.google.com/spreadsheets/d/1IwnW3-jjRf74MCLW-6P"&amp;"iFwMUffRQXZwZA7YM609NmRc/edit?usp=share_link"",""ปัตตานี!J644"")+IMPORTRANGE(""https://docs.google.com/spreadsheets/d/1vl4QWbWdFruual5o_wdo6ZSqXZ_it806oja4CctTLKs/edit?usp=share_link"",""พังงา!J644"")+IMPORTRANGE(""https://docs.google.com/spreadsheets/d/1"&amp;"b6QssHQp2FoAPSMKHOy273KNzAomaIKhtdlvuZ_zDNE/edit?usp=share_link"",""พัทลุง!J644"")+IMPORTRANGE(""https://docs.google.com/spreadsheets/d/1o7UZe4_OqlqtLDHrj01Z2YFRSZDf1DMy1n3XViHaxRc/edit?usp=share_link"",""ภูเก็ต!J644"")+IMPORTRANGE(""https://docs.google.c"&amp;"om/spreadsheets/d/1ctPm1vUzcUCPuOj9-eoHUD85PqINFqUB0TjdSWmR5-c/edit?usp=share_link"",""ยะลา!J644"")+IMPORTRANGE(""https://docs.google.com/spreadsheets/d/1YiDIE7Klmt8osgdapRqYWNr7iPGFSsiJqq46S7PYRE0/edit?usp=share_link"",""ระนอง!J644"")+IMPORTRANGE(""https"&amp;"://docs.google.com/spreadsheets/d/16o_4B-V7AWw_6E93bSpXj_XxVv1oVQctk-B6z1dNEWU/edit?usp=share_link"",""สงขลา!J644"")+IMPORTRANGE(""https://docs.google.com/spreadsheets/d/16cywr71Fj4fA5OGRHsZh30ZG2gwJhMAQv69oVBzYHv0/edit?usp=share_link"",""สตูล!J644"")+IMP"&amp;"ORTRANGE(""https://docs.google.com/spreadsheets/d/1vO9Sws6kMtrVtyvrAJptINXjK8TFBoX9xLYOVK_C8bQ/edit?usp=share_link"",""สุราษฎร์ธานี!J644"")"),1)</f>
        <v>1</v>
      </c>
      <c r="K644" s="163">
        <f t="shared" ca="1" si="308"/>
        <v>20</v>
      </c>
      <c r="L644" s="163"/>
      <c r="M644" s="163"/>
      <c r="N644" s="3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20.25" customHeight="1">
      <c r="A645" s="743"/>
      <c r="B645" s="574"/>
      <c r="C645" s="575"/>
      <c r="D645" s="618"/>
      <c r="E645" s="745" t="s">
        <v>276</v>
      </c>
      <c r="F645" s="618"/>
      <c r="G645" s="175"/>
      <c r="H645" s="182" t="s">
        <v>34</v>
      </c>
      <c r="I645" s="270">
        <v>0</v>
      </c>
      <c r="J645" s="37">
        <f ca="1">IFERROR(__xludf.DUMMYFUNCTION("IMPORTRANGE(""https://docs.google.com/spreadsheets/d/1kC41EOXpGBFOW658Fs3oD8beYlym0-zO54WY-2Qnp9I/edit?usp=share_link"",""กระบี่!J645"")
+IMPORTRANGE(""https://docs.google.com/spreadsheets/d/1FbzMZY_f3MDiEuK7RpCQKrilJ_kpX0Wm7QBZ1L7EjIU/edit?usp=share_link"&amp;""",""ชุมพร!J645"")+IMPORTRANGE(""https://docs.google.com/spreadsheets/d/1v5sN-00LrXuhBxw4dkh2GrG_z4l5oAqOdJRBCsUyMaM/edit?usp=share_link"",""ตรัง!J645"")+IMPORTRANGE(""https://docs.google.com/spreadsheets/d/1T5rRTzFc79aSIvqnzkZNvwPstq829QYz_xALlO1Z0s8/edi"&amp;"t?usp=share_link"",""นครศรีธรรมราช!J645"")+IMPORTRANGE(""https://docs.google.com/spreadsheets/d/1BeghqumK0IvCmRd2QOy6_afsZq7ZtAGrSnVJy2u7WmY/edit?usp=share_link"",""นราธิวาส!J645"")+IMPORTRANGE(""https://docs.google.com/spreadsheets/d/1IwnW3-jjRf74MCLW-6P"&amp;"iFwMUffRQXZwZA7YM609NmRc/edit?usp=share_link"",""ปัตตานี!J645"")+IMPORTRANGE(""https://docs.google.com/spreadsheets/d/1vl4QWbWdFruual5o_wdo6ZSqXZ_it806oja4CctTLKs/edit?usp=share_link"",""พังงา!J645"")+IMPORTRANGE(""https://docs.google.com/spreadsheets/d/1"&amp;"b6QssHQp2FoAPSMKHOy273KNzAomaIKhtdlvuZ_zDNE/edit?usp=share_link"",""พัทลุง!J645"")+IMPORTRANGE(""https://docs.google.com/spreadsheets/d/1o7UZe4_OqlqtLDHrj01Z2YFRSZDf1DMy1n3XViHaxRc/edit?usp=share_link"",""ภูเก็ต!J645"")+IMPORTRANGE(""https://docs.google.c"&amp;"om/spreadsheets/d/1ctPm1vUzcUCPuOj9-eoHUD85PqINFqUB0TjdSWmR5-c/edit?usp=share_link"",""ยะลา!J645"")+IMPORTRANGE(""https://docs.google.com/spreadsheets/d/1YiDIE7Klmt8osgdapRqYWNr7iPGFSsiJqq46S7PYRE0/edit?usp=share_link"",""ระนอง!J645"")+IMPORTRANGE(""https"&amp;"://docs.google.com/spreadsheets/d/16o_4B-V7AWw_6E93bSpXj_XxVv1oVQctk-B6z1dNEWU/edit?usp=share_link"",""สงขลา!J645"")+IMPORTRANGE(""https://docs.google.com/spreadsheets/d/16cywr71Fj4fA5OGRHsZh30ZG2gwJhMAQv69oVBzYHv0/edit?usp=share_link"",""สตูล!J645"")+IMP"&amp;"ORTRANGE(""https://docs.google.com/spreadsheets/d/1vO9Sws6kMtrVtyvrAJptINXjK8TFBoX9xLYOVK_C8bQ/edit?usp=share_link"",""สุราษฎร์ธานี!J645"")"),49)</f>
        <v>49</v>
      </c>
      <c r="K645" s="163">
        <f t="shared" si="308"/>
        <v>0</v>
      </c>
      <c r="L645" s="163"/>
      <c r="M645" s="163"/>
      <c r="N645" s="3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20.25" customHeight="1">
      <c r="A646" s="743"/>
      <c r="B646" s="574"/>
      <c r="C646" s="575"/>
      <c r="D646" s="618"/>
      <c r="E646" s="618"/>
      <c r="F646" s="618"/>
      <c r="G646" s="175"/>
      <c r="H646" s="182" t="s">
        <v>46</v>
      </c>
      <c r="I646" s="270">
        <v>0</v>
      </c>
      <c r="J646" s="37">
        <f ca="1">IFERROR(__xludf.DUMMYFUNCTION("IMPORTRANGE(""https://docs.google.com/spreadsheets/d/1kC41EOXpGBFOW658Fs3oD8beYlym0-zO54WY-2Qnp9I/edit?usp=share_link"",""กระบี่!J646"")
+IMPORTRANGE(""https://docs.google.com/spreadsheets/d/1FbzMZY_f3MDiEuK7RpCQKrilJ_kpX0Wm7QBZ1L7EjIU/edit?usp=share_link"&amp;""",""ชุมพร!J646"")+IMPORTRANGE(""https://docs.google.com/spreadsheets/d/1v5sN-00LrXuhBxw4dkh2GrG_z4l5oAqOdJRBCsUyMaM/edit?usp=share_link"",""ตรัง!J646"")+IMPORTRANGE(""https://docs.google.com/spreadsheets/d/1T5rRTzFc79aSIvqnzkZNvwPstq829QYz_xALlO1Z0s8/edi"&amp;"t?usp=share_link"",""นครศรีธรรมราช!J646"")+IMPORTRANGE(""https://docs.google.com/spreadsheets/d/1BeghqumK0IvCmRd2QOy6_afsZq7ZtAGrSnVJy2u7WmY/edit?usp=share_link"",""นราธิวาส!J646"")+IMPORTRANGE(""https://docs.google.com/spreadsheets/d/1IwnW3-jjRf74MCLW-6P"&amp;"iFwMUffRQXZwZA7YM609NmRc/edit?usp=share_link"",""ปัตตานี!J646"")+IMPORTRANGE(""https://docs.google.com/spreadsheets/d/1vl4QWbWdFruual5o_wdo6ZSqXZ_it806oja4CctTLKs/edit?usp=share_link"",""พังงา!J646"")+IMPORTRANGE(""https://docs.google.com/spreadsheets/d/1"&amp;"b6QssHQp2FoAPSMKHOy273KNzAomaIKhtdlvuZ_zDNE/edit?usp=share_link"",""พัทลุง!J646"")+IMPORTRANGE(""https://docs.google.com/spreadsheets/d/1o7UZe4_OqlqtLDHrj01Z2YFRSZDf1DMy1n3XViHaxRc/edit?usp=share_link"",""ภูเก็ต!J646"")+IMPORTRANGE(""https://docs.google.c"&amp;"om/spreadsheets/d/1ctPm1vUzcUCPuOj9-eoHUD85PqINFqUB0TjdSWmR5-c/edit?usp=share_link"",""ยะลา!J646"")+IMPORTRANGE(""https://docs.google.com/spreadsheets/d/1YiDIE7Klmt8osgdapRqYWNr7iPGFSsiJqq46S7PYRE0/edit?usp=share_link"",""ระนอง!J646"")+IMPORTRANGE(""https"&amp;"://docs.google.com/spreadsheets/d/16o_4B-V7AWw_6E93bSpXj_XxVv1oVQctk-B6z1dNEWU/edit?usp=share_link"",""สงขลา!J646"")+IMPORTRANGE(""https://docs.google.com/spreadsheets/d/16cywr71Fj4fA5OGRHsZh30ZG2gwJhMAQv69oVBzYHv0/edit?usp=share_link"",""สตูล!J646"")+IMP"&amp;"ORTRANGE(""https://docs.google.com/spreadsheets/d/1vO9Sws6kMtrVtyvrAJptINXjK8TFBoX9xLYOVK_C8bQ/edit?usp=share_link"",""สุราษฎร์ธานี!J646"")"),13.53)</f>
        <v>13.53</v>
      </c>
      <c r="K646" s="38">
        <f t="shared" si="308"/>
        <v>0</v>
      </c>
      <c r="L646" s="163"/>
      <c r="M646" s="163"/>
      <c r="N646" s="3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20.25" customHeight="1">
      <c r="A647" s="743"/>
      <c r="B647" s="574"/>
      <c r="C647" s="575"/>
      <c r="D647" s="618"/>
      <c r="E647" s="263" t="s">
        <v>162</v>
      </c>
      <c r="F647" s="618"/>
      <c r="G647" s="175"/>
      <c r="H647" s="182" t="s">
        <v>35</v>
      </c>
      <c r="I647" s="37">
        <f ca="1">IFERROR(__xludf.DUMMYFUNCTION("IMPORTRANGE(""https://docs.google.com/spreadsheets/d/1kC41EOXpGBFOW658Fs3oD8beYlym0-zO54WY-2Qnp9I/edit?usp=share_link"",""กระบี่!I647"")
+IMPORTRANGE(""https://docs.google.com/spreadsheets/d/1FbzMZY_f3MDiEuK7RpCQKrilJ_kpX0Wm7QBZ1L7EjIU/edit?usp=share_link"&amp;""",""ชุมพร!I647"")+IMPORTRANGE(""https://docs.google.com/spreadsheets/d/1v5sN-00LrXuhBxw4dkh2GrG_z4l5oAqOdJRBCsUyMaM/edit?usp=share_link"",""ตรัง!I647"")+IMPORTRANGE(""https://docs.google.com/spreadsheets/d/1T5rRTzFc79aSIvqnzkZNvwPstq829QYz_xALlO1Z0s8/edi"&amp;"t?usp=share_link"",""นครศรีธรรมราช!I647"")+IMPORTRANGE(""https://docs.google.com/spreadsheets/d/1BeghqumK0IvCmRd2QOy6_afsZq7ZtAGrSnVJy2u7WmY/edit?usp=share_link"",""นราธิวาส!I647"")+IMPORTRANGE(""https://docs.google.com/spreadsheets/d/1IwnW3-jjRf74MCLW-6P"&amp;"iFwMUffRQXZwZA7YM609NmRc/edit?usp=share_link"",""ปัตตานี!I647"")+IMPORTRANGE(""https://docs.google.com/spreadsheets/d/1vl4QWbWdFruual5o_wdo6ZSqXZ_it806oja4CctTLKs/edit?usp=share_link"",""พังงา!I647"")+IMPORTRANGE(""https://docs.google.com/spreadsheets/d/1"&amp;"b6QssHQp2FoAPSMKHOy273KNzAomaIKhtdlvuZ_zDNE/edit?usp=share_link"",""พัทลุง!I647"")+IMPORTRANGE(""https://docs.google.com/spreadsheets/d/1o7UZe4_OqlqtLDHrj01Z2YFRSZDf1DMy1n3XViHaxRc/edit?usp=share_link"",""ภูเก็ต!I647"")+IMPORTRANGE(""https://docs.google.c"&amp;"om/spreadsheets/d/1ctPm1vUzcUCPuOj9-eoHUD85PqINFqUB0TjdSWmR5-c/edit?usp=share_link"",""ยะลา!I647"")+IMPORTRANGE(""https://docs.google.com/spreadsheets/d/1YiDIE7Klmt8osgdapRqYWNr7iPGFSsiJqq46S7PYRE0/edit?usp=share_link"",""ระนอง!I647"")+IMPORTRANGE(""https"&amp;"://docs.google.com/spreadsheets/d/16o_4B-V7AWw_6E93bSpXj_XxVv1oVQctk-B6z1dNEWU/edit?usp=share_link"",""สงขลา!I647"")+IMPORTRANGE(""https://docs.google.com/spreadsheets/d/16cywr71Fj4fA5OGRHsZh30ZG2gwJhMAQv69oVBzYHv0/edit?usp=share_link"",""สตูล!I647"")+IMP"&amp;"ORTRANGE(""https://docs.google.com/spreadsheets/d/1vO9Sws6kMtrVtyvrAJptINXjK8TFBoX9xLYOVK_C8bQ/edit?usp=share_link"",""สุราษฎร์ธานี!I647"")"),324)</f>
        <v>324</v>
      </c>
      <c r="J647" s="37">
        <f ca="1">IFERROR(__xludf.DUMMYFUNCTION("IMPORTRANGE(""https://docs.google.com/spreadsheets/d/1kC41EOXpGBFOW658Fs3oD8beYlym0-zO54WY-2Qnp9I/edit?usp=share_link"",""กระบี่!J647"")
+IMPORTRANGE(""https://docs.google.com/spreadsheets/d/1FbzMZY_f3MDiEuK7RpCQKrilJ_kpX0Wm7QBZ1L7EjIU/edit?usp=share_link"&amp;""",""ชุมพร!J647"")+IMPORTRANGE(""https://docs.google.com/spreadsheets/d/1v5sN-00LrXuhBxw4dkh2GrG_z4l5oAqOdJRBCsUyMaM/edit?usp=share_link"",""ตรัง!J647"")+IMPORTRANGE(""https://docs.google.com/spreadsheets/d/1T5rRTzFc79aSIvqnzkZNvwPstq829QYz_xALlO1Z0s8/edi"&amp;"t?usp=share_link"",""นครศรีธรรมราช!J647"")+IMPORTRANGE(""https://docs.google.com/spreadsheets/d/1BeghqumK0IvCmRd2QOy6_afsZq7ZtAGrSnVJy2u7WmY/edit?usp=share_link"",""นราธิวาส!J647"")+IMPORTRANGE(""https://docs.google.com/spreadsheets/d/1IwnW3-jjRf74MCLW-6P"&amp;"iFwMUffRQXZwZA7YM609NmRc/edit?usp=share_link"",""ปัตตานี!J647"")+IMPORTRANGE(""https://docs.google.com/spreadsheets/d/1vl4QWbWdFruual5o_wdo6ZSqXZ_it806oja4CctTLKs/edit?usp=share_link"",""พังงา!J647"")+IMPORTRANGE(""https://docs.google.com/spreadsheets/d/1"&amp;"b6QssHQp2FoAPSMKHOy273KNzAomaIKhtdlvuZ_zDNE/edit?usp=share_link"",""พัทลุง!J647"")+IMPORTRANGE(""https://docs.google.com/spreadsheets/d/1o7UZe4_OqlqtLDHrj01Z2YFRSZDf1DMy1n3XViHaxRc/edit?usp=share_link"",""ภูเก็ต!J647"")+IMPORTRANGE(""https://docs.google.c"&amp;"om/spreadsheets/d/1ctPm1vUzcUCPuOj9-eoHUD85PqINFqUB0TjdSWmR5-c/edit?usp=share_link"",""ยะลา!J647"")+IMPORTRANGE(""https://docs.google.com/spreadsheets/d/1YiDIE7Klmt8osgdapRqYWNr7iPGFSsiJqq46S7PYRE0/edit?usp=share_link"",""ระนอง!J647"")+IMPORTRANGE(""https"&amp;"://docs.google.com/spreadsheets/d/16o_4B-V7AWw_6E93bSpXj_XxVv1oVQctk-B6z1dNEWU/edit?usp=share_link"",""สงขลา!J647"")+IMPORTRANGE(""https://docs.google.com/spreadsheets/d/16cywr71Fj4fA5OGRHsZh30ZG2gwJhMAQv69oVBzYHv0/edit?usp=share_link"",""สตูล!J647"")+IMP"&amp;"ORTRANGE(""https://docs.google.com/spreadsheets/d/1vO9Sws6kMtrVtyvrAJptINXjK8TFBoX9xLYOVK_C8bQ/edit?usp=share_link"",""สุราษฎร์ธานี!J647"")"),138)</f>
        <v>138</v>
      </c>
      <c r="K647" s="163">
        <f t="shared" ca="1" si="308"/>
        <v>42.592592592592595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20.25" customHeight="1">
      <c r="A648" s="743"/>
      <c r="B648" s="574"/>
      <c r="C648" s="575"/>
      <c r="D648" s="618"/>
      <c r="E648" s="618"/>
      <c r="F648" s="618"/>
      <c r="G648" s="175"/>
      <c r="H648" s="182" t="s">
        <v>46</v>
      </c>
      <c r="I648" s="270">
        <v>0</v>
      </c>
      <c r="J648" s="37">
        <f ca="1">IFERROR(__xludf.DUMMYFUNCTION("IMPORTRANGE(""https://docs.google.com/spreadsheets/d/1kC41EOXpGBFOW658Fs3oD8beYlym0-zO54WY-2Qnp9I/edit?usp=share_link"",""กระบี่!J648"")
+IMPORTRANGE(""https://docs.google.com/spreadsheets/d/1FbzMZY_f3MDiEuK7RpCQKrilJ_kpX0Wm7QBZ1L7EjIU/edit?usp=share_link"&amp;""",""ชุมพร!J648"")+IMPORTRANGE(""https://docs.google.com/spreadsheets/d/1v5sN-00LrXuhBxw4dkh2GrG_z4l5oAqOdJRBCsUyMaM/edit?usp=share_link"",""ตรัง!J648"")+IMPORTRANGE(""https://docs.google.com/spreadsheets/d/1T5rRTzFc79aSIvqnzkZNvwPstq829QYz_xALlO1Z0s8/edi"&amp;"t?usp=share_link"",""นครศรีธรรมราช!J648"")+IMPORTRANGE(""https://docs.google.com/spreadsheets/d/1BeghqumK0IvCmRd2QOy6_afsZq7ZtAGrSnVJy2u7WmY/edit?usp=share_link"",""นราธิวาส!J648"")+IMPORTRANGE(""https://docs.google.com/spreadsheets/d/1IwnW3-jjRf74MCLW-6P"&amp;"iFwMUffRQXZwZA7YM609NmRc/edit?usp=share_link"",""ปัตตานี!J648"")+IMPORTRANGE(""https://docs.google.com/spreadsheets/d/1vl4QWbWdFruual5o_wdo6ZSqXZ_it806oja4CctTLKs/edit?usp=share_link"",""พังงา!J648"")+IMPORTRANGE(""https://docs.google.com/spreadsheets/d/1"&amp;"b6QssHQp2FoAPSMKHOy273KNzAomaIKhtdlvuZ_zDNE/edit?usp=share_link"",""พัทลุง!J648"")+IMPORTRANGE(""https://docs.google.com/spreadsheets/d/1o7UZe4_OqlqtLDHrj01Z2YFRSZDf1DMy1n3XViHaxRc/edit?usp=share_link"",""ภูเก็ต!J648"")+IMPORTRANGE(""https://docs.google.c"&amp;"om/spreadsheets/d/1ctPm1vUzcUCPuOj9-eoHUD85PqINFqUB0TjdSWmR5-c/edit?usp=share_link"",""ยะลา!J648"")+IMPORTRANGE(""https://docs.google.com/spreadsheets/d/1YiDIE7Klmt8osgdapRqYWNr7iPGFSsiJqq46S7PYRE0/edit?usp=share_link"",""ระนอง!J648"")+IMPORTRANGE(""https"&amp;"://docs.google.com/spreadsheets/d/16o_4B-V7AWw_6E93bSpXj_XxVv1oVQctk-B6z1dNEWU/edit?usp=share_link"",""สงขลา!J648"")+IMPORTRANGE(""https://docs.google.com/spreadsheets/d/16cywr71Fj4fA5OGRHsZh30ZG2gwJhMAQv69oVBzYHv0/edit?usp=share_link"",""สตูล!J648"")+IMP"&amp;"ORTRANGE(""https://docs.google.com/spreadsheets/d/1vO9Sws6kMtrVtyvrAJptINXjK8TFBoX9xLYOVK_C8bQ/edit?usp=share_link"",""สุราษฎร์ธานี!J648"")"),37.27)</f>
        <v>37.270000000000003</v>
      </c>
      <c r="K648" s="38">
        <f t="shared" si="308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20.25" customHeight="1">
      <c r="A649" s="743"/>
      <c r="B649" s="574"/>
      <c r="C649" s="575"/>
      <c r="D649" s="618"/>
      <c r="E649" s="263" t="s">
        <v>277</v>
      </c>
      <c r="F649" s="618"/>
      <c r="G649" s="175"/>
      <c r="H649" s="182" t="s">
        <v>35</v>
      </c>
      <c r="I649" s="37">
        <f ca="1">IFERROR(__xludf.DUMMYFUNCTION("IMPORTRANGE(""https://docs.google.com/spreadsheets/d/1kC41EOXpGBFOW658Fs3oD8beYlym0-zO54WY-2Qnp9I/edit?usp=share_link"",""กระบี่!I649"")
+IMPORTRANGE(""https://docs.google.com/spreadsheets/d/1FbzMZY_f3MDiEuK7RpCQKrilJ_kpX0Wm7QBZ1L7EjIU/edit?usp=share_link"&amp;""",""ชุมพร!I649"")+IMPORTRANGE(""https://docs.google.com/spreadsheets/d/1v5sN-00LrXuhBxw4dkh2GrG_z4l5oAqOdJRBCsUyMaM/edit?usp=share_link"",""ตรัง!I649"")+IMPORTRANGE(""https://docs.google.com/spreadsheets/d/1T5rRTzFc79aSIvqnzkZNvwPstq829QYz_xALlO1Z0s8/edi"&amp;"t?usp=share_link"",""นครศรีธรรมราช!I649"")+IMPORTRANGE(""https://docs.google.com/spreadsheets/d/1BeghqumK0IvCmRd2QOy6_afsZq7ZtAGrSnVJy2u7WmY/edit?usp=share_link"",""นราธิวาส!I649"")+IMPORTRANGE(""https://docs.google.com/spreadsheets/d/1IwnW3-jjRf74MCLW-6P"&amp;"iFwMUffRQXZwZA7YM609NmRc/edit?usp=share_link"",""ปัตตานี!I649"")+IMPORTRANGE(""https://docs.google.com/spreadsheets/d/1vl4QWbWdFruual5o_wdo6ZSqXZ_it806oja4CctTLKs/edit?usp=share_link"",""พังงา!I649"")+IMPORTRANGE(""https://docs.google.com/spreadsheets/d/1"&amp;"b6QssHQp2FoAPSMKHOy273KNzAomaIKhtdlvuZ_zDNE/edit?usp=share_link"",""พัทลุง!I649"")+IMPORTRANGE(""https://docs.google.com/spreadsheets/d/1o7UZe4_OqlqtLDHrj01Z2YFRSZDf1DMy1n3XViHaxRc/edit?usp=share_link"",""ภูเก็ต!I649"")+IMPORTRANGE(""https://docs.google.c"&amp;"om/spreadsheets/d/1ctPm1vUzcUCPuOj9-eoHUD85PqINFqUB0TjdSWmR5-c/edit?usp=share_link"",""ยะลา!I649"")+IMPORTRANGE(""https://docs.google.com/spreadsheets/d/1YiDIE7Klmt8osgdapRqYWNr7iPGFSsiJqq46S7PYRE0/edit?usp=share_link"",""ระนอง!I649"")+IMPORTRANGE(""https"&amp;"://docs.google.com/spreadsheets/d/16o_4B-V7AWw_6E93bSpXj_XxVv1oVQctk-B6z1dNEWU/edit?usp=share_link"",""สงขลา!I649"")+IMPORTRANGE(""https://docs.google.com/spreadsheets/d/16cywr71Fj4fA5OGRHsZh30ZG2gwJhMAQv69oVBzYHv0/edit?usp=share_link"",""สตูล!I649"")+IMP"&amp;"ORTRANGE(""https://docs.google.com/spreadsheets/d/1vO9Sws6kMtrVtyvrAJptINXjK8TFBoX9xLYOVK_C8bQ/edit?usp=share_link"",""สุราษฎร์ธานี!I649"")"),324)</f>
        <v>324</v>
      </c>
      <c r="J649" s="37">
        <f ca="1">IFERROR(__xludf.DUMMYFUNCTION("IMPORTRANGE(""https://docs.google.com/spreadsheets/d/1kC41EOXpGBFOW658Fs3oD8beYlym0-zO54WY-2Qnp9I/edit?usp=share_link"",""กระบี่!J649"")
+IMPORTRANGE(""https://docs.google.com/spreadsheets/d/1FbzMZY_f3MDiEuK7RpCQKrilJ_kpX0Wm7QBZ1L7EjIU/edit?usp=share_link"&amp;""",""ชุมพร!J649"")+IMPORTRANGE(""https://docs.google.com/spreadsheets/d/1v5sN-00LrXuhBxw4dkh2GrG_z4l5oAqOdJRBCsUyMaM/edit?usp=share_link"",""ตรัง!J649"")+IMPORTRANGE(""https://docs.google.com/spreadsheets/d/1T5rRTzFc79aSIvqnzkZNvwPstq829QYz_xALlO1Z0s8/edi"&amp;"t?usp=share_link"",""นครศรีธรรมราช!J649"")+IMPORTRANGE(""https://docs.google.com/spreadsheets/d/1BeghqumK0IvCmRd2QOy6_afsZq7ZtAGrSnVJy2u7WmY/edit?usp=share_link"",""นราธิวาส!J649"")+IMPORTRANGE(""https://docs.google.com/spreadsheets/d/1IwnW3-jjRf74MCLW-6P"&amp;"iFwMUffRQXZwZA7YM609NmRc/edit?usp=share_link"",""ปัตตานี!J649"")+IMPORTRANGE(""https://docs.google.com/spreadsheets/d/1vl4QWbWdFruual5o_wdo6ZSqXZ_it806oja4CctTLKs/edit?usp=share_link"",""พังงา!J649"")+IMPORTRANGE(""https://docs.google.com/spreadsheets/d/1"&amp;"b6QssHQp2FoAPSMKHOy273KNzAomaIKhtdlvuZ_zDNE/edit?usp=share_link"",""พัทลุง!J649"")+IMPORTRANGE(""https://docs.google.com/spreadsheets/d/1o7UZe4_OqlqtLDHrj01Z2YFRSZDf1DMy1n3XViHaxRc/edit?usp=share_link"",""ภูเก็ต!J649"")+IMPORTRANGE(""https://docs.google.c"&amp;"om/spreadsheets/d/1ctPm1vUzcUCPuOj9-eoHUD85PqINFqUB0TjdSWmR5-c/edit?usp=share_link"",""ยะลา!J649"")+IMPORTRANGE(""https://docs.google.com/spreadsheets/d/1YiDIE7Klmt8osgdapRqYWNr7iPGFSsiJqq46S7PYRE0/edit?usp=share_link"",""ระนอง!J649"")+IMPORTRANGE(""https"&amp;"://docs.google.com/spreadsheets/d/16o_4B-V7AWw_6E93bSpXj_XxVv1oVQctk-B6z1dNEWU/edit?usp=share_link"",""สงขลา!J649"")+IMPORTRANGE(""https://docs.google.com/spreadsheets/d/16cywr71Fj4fA5OGRHsZh30ZG2gwJhMAQv69oVBzYHv0/edit?usp=share_link"",""สตูล!J649"")+IMP"&amp;"ORTRANGE(""https://docs.google.com/spreadsheets/d/1vO9Sws6kMtrVtyvrAJptINXjK8TFBoX9xLYOVK_C8bQ/edit?usp=share_link"",""สุราษฎร์ธานี!J649"")"),81)</f>
        <v>81</v>
      </c>
      <c r="K649" s="163">
        <f t="shared" ca="1" si="308"/>
        <v>25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20.25" customHeight="1">
      <c r="A650" s="743"/>
      <c r="B650" s="574"/>
      <c r="C650" s="575"/>
      <c r="D650" s="618"/>
      <c r="E650" s="618"/>
      <c r="F650" s="618"/>
      <c r="G650" s="175"/>
      <c r="H650" s="182" t="s">
        <v>46</v>
      </c>
      <c r="I650" s="270">
        <v>0</v>
      </c>
      <c r="J650" s="37">
        <f ca="1">IFERROR(__xludf.DUMMYFUNCTION("IMPORTRANGE(""https://docs.google.com/spreadsheets/d/1kC41EOXpGBFOW658Fs3oD8beYlym0-zO54WY-2Qnp9I/edit?usp=share_link"",""กระบี่!J650"")
+IMPORTRANGE(""https://docs.google.com/spreadsheets/d/1FbzMZY_f3MDiEuK7RpCQKrilJ_kpX0Wm7QBZ1L7EjIU/edit?usp=share_link"&amp;""",""ชุมพร!J650"")+IMPORTRANGE(""https://docs.google.com/spreadsheets/d/1v5sN-00LrXuhBxw4dkh2GrG_z4l5oAqOdJRBCsUyMaM/edit?usp=share_link"",""ตรัง!J650"")+IMPORTRANGE(""https://docs.google.com/spreadsheets/d/1T5rRTzFc79aSIvqnzkZNvwPstq829QYz_xALlO1Z0s8/edi"&amp;"t?usp=share_link"",""นครศรีธรรมราช!J650"")+IMPORTRANGE(""https://docs.google.com/spreadsheets/d/1BeghqumK0IvCmRd2QOy6_afsZq7ZtAGrSnVJy2u7WmY/edit?usp=share_link"",""นราธิวาส!J650"")+IMPORTRANGE(""https://docs.google.com/spreadsheets/d/1IwnW3-jjRf74MCLW-6P"&amp;"iFwMUffRQXZwZA7YM609NmRc/edit?usp=share_link"",""ปัตตานี!J650"")+IMPORTRANGE(""https://docs.google.com/spreadsheets/d/1vl4QWbWdFruual5o_wdo6ZSqXZ_it806oja4CctTLKs/edit?usp=share_link"",""พังงา!J650"")+IMPORTRANGE(""https://docs.google.com/spreadsheets/d/1"&amp;"b6QssHQp2FoAPSMKHOy273KNzAomaIKhtdlvuZ_zDNE/edit?usp=share_link"",""พัทลุง!J650"")+IMPORTRANGE(""https://docs.google.com/spreadsheets/d/1o7UZe4_OqlqtLDHrj01Z2YFRSZDf1DMy1n3XViHaxRc/edit?usp=share_link"",""ภูเก็ต!J650"")+IMPORTRANGE(""https://docs.google.c"&amp;"om/spreadsheets/d/1ctPm1vUzcUCPuOj9-eoHUD85PqINFqUB0TjdSWmR5-c/edit?usp=share_link"",""ยะลา!J650"")+IMPORTRANGE(""https://docs.google.com/spreadsheets/d/1YiDIE7Klmt8osgdapRqYWNr7iPGFSsiJqq46S7PYRE0/edit?usp=share_link"",""ระนอง!J650"")+IMPORTRANGE(""https"&amp;"://docs.google.com/spreadsheets/d/16o_4B-V7AWw_6E93bSpXj_XxVv1oVQctk-B6z1dNEWU/edit?usp=share_link"",""สงขลา!J650"")+IMPORTRANGE(""https://docs.google.com/spreadsheets/d/16cywr71Fj4fA5OGRHsZh30ZG2gwJhMAQv69oVBzYHv0/edit?usp=share_link"",""สตูล!J650"")+IMP"&amp;"ORTRANGE(""https://docs.google.com/spreadsheets/d/1vO9Sws6kMtrVtyvrAJptINXjK8TFBoX9xLYOVK_C8bQ/edit?usp=share_link"",""สุราษฎร์ธานี!J650"")"),20.48)</f>
        <v>20.48</v>
      </c>
      <c r="K650" s="38">
        <f t="shared" si="308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20.25" customHeight="1">
      <c r="A651" s="743"/>
      <c r="B651" s="574"/>
      <c r="C651" s="575"/>
      <c r="D651" s="618"/>
      <c r="E651" s="263" t="s">
        <v>278</v>
      </c>
      <c r="F651" s="618"/>
      <c r="G651" s="175"/>
      <c r="H651" s="182" t="s">
        <v>35</v>
      </c>
      <c r="I651" s="37">
        <f ca="1">IFERROR(__xludf.DUMMYFUNCTION("IMPORTRANGE(""https://docs.google.com/spreadsheets/d/1kC41EOXpGBFOW658Fs3oD8beYlym0-zO54WY-2Qnp9I/edit?usp=share_link"",""กระบี่!I651"")
+IMPORTRANGE(""https://docs.google.com/spreadsheets/d/1FbzMZY_f3MDiEuK7RpCQKrilJ_kpX0Wm7QBZ1L7EjIU/edit?usp=share_link"&amp;""",""ชุมพร!I651"")+IMPORTRANGE(""https://docs.google.com/spreadsheets/d/1v5sN-00LrXuhBxw4dkh2GrG_z4l5oAqOdJRBCsUyMaM/edit?usp=share_link"",""ตรัง!I651"")+IMPORTRANGE(""https://docs.google.com/spreadsheets/d/1T5rRTzFc79aSIvqnzkZNvwPstq829QYz_xALlO1Z0s8/edi"&amp;"t?usp=share_link"",""นครศรีธรรมราช!I651"")+IMPORTRANGE(""https://docs.google.com/spreadsheets/d/1BeghqumK0IvCmRd2QOy6_afsZq7ZtAGrSnVJy2u7WmY/edit?usp=share_link"",""นราธิวาส!I651"")+IMPORTRANGE(""https://docs.google.com/spreadsheets/d/1IwnW3-jjRf74MCLW-6P"&amp;"iFwMUffRQXZwZA7YM609NmRc/edit?usp=share_link"",""ปัตตานี!I651"")+IMPORTRANGE(""https://docs.google.com/spreadsheets/d/1vl4QWbWdFruual5o_wdo6ZSqXZ_it806oja4CctTLKs/edit?usp=share_link"",""พังงา!I651"")+IMPORTRANGE(""https://docs.google.com/spreadsheets/d/1"&amp;"b6QssHQp2FoAPSMKHOy273KNzAomaIKhtdlvuZ_zDNE/edit?usp=share_link"",""พัทลุง!I651"")+IMPORTRANGE(""https://docs.google.com/spreadsheets/d/1o7UZe4_OqlqtLDHrj01Z2YFRSZDf1DMy1n3XViHaxRc/edit?usp=share_link"",""ภูเก็ต!I651"")+IMPORTRANGE(""https://docs.google.c"&amp;"om/spreadsheets/d/1ctPm1vUzcUCPuOj9-eoHUD85PqINFqUB0TjdSWmR5-c/edit?usp=share_link"",""ยะลา!I651"")+IMPORTRANGE(""https://docs.google.com/spreadsheets/d/1YiDIE7Klmt8osgdapRqYWNr7iPGFSsiJqq46S7PYRE0/edit?usp=share_link"",""ระนอง!I651"")+IMPORTRANGE(""https"&amp;"://docs.google.com/spreadsheets/d/16o_4B-V7AWw_6E93bSpXj_XxVv1oVQctk-B6z1dNEWU/edit?usp=share_link"",""สงขลา!I651"")+IMPORTRANGE(""https://docs.google.com/spreadsheets/d/16cywr71Fj4fA5OGRHsZh30ZG2gwJhMAQv69oVBzYHv0/edit?usp=share_link"",""สตูล!I651"")+IMP"&amp;"ORTRANGE(""https://docs.google.com/spreadsheets/d/1vO9Sws6kMtrVtyvrAJptINXjK8TFBoX9xLYOVK_C8bQ/edit?usp=share_link"",""สุราษฎร์ธานี!I651"")"),324)</f>
        <v>324</v>
      </c>
      <c r="J651" s="37">
        <f ca="1">IFERROR(__xludf.DUMMYFUNCTION("IMPORTRANGE(""https://docs.google.com/spreadsheets/d/1kC41EOXpGBFOW658Fs3oD8beYlym0-zO54WY-2Qnp9I/edit?usp=share_link"",""กระบี่!J651"")
+IMPORTRANGE(""https://docs.google.com/spreadsheets/d/1FbzMZY_f3MDiEuK7RpCQKrilJ_kpX0Wm7QBZ1L7EjIU/edit?usp=share_link"&amp;""",""ชุมพร!J651"")+IMPORTRANGE(""https://docs.google.com/spreadsheets/d/1v5sN-00LrXuhBxw4dkh2GrG_z4l5oAqOdJRBCsUyMaM/edit?usp=share_link"",""ตรัง!J651"")+IMPORTRANGE(""https://docs.google.com/spreadsheets/d/1T5rRTzFc79aSIvqnzkZNvwPstq829QYz_xALlO1Z0s8/edi"&amp;"t?usp=share_link"",""นครศรีธรรมราช!J651"")+IMPORTRANGE(""https://docs.google.com/spreadsheets/d/1BeghqumK0IvCmRd2QOy6_afsZq7ZtAGrSnVJy2u7WmY/edit?usp=share_link"",""นราธิวาส!J651"")+IMPORTRANGE(""https://docs.google.com/spreadsheets/d/1IwnW3-jjRf74MCLW-6P"&amp;"iFwMUffRQXZwZA7YM609NmRc/edit?usp=share_link"",""ปัตตานี!J651"")+IMPORTRANGE(""https://docs.google.com/spreadsheets/d/1vl4QWbWdFruual5o_wdo6ZSqXZ_it806oja4CctTLKs/edit?usp=share_link"",""พังงา!J651"")+IMPORTRANGE(""https://docs.google.com/spreadsheets/d/1"&amp;"b6QssHQp2FoAPSMKHOy273KNzAomaIKhtdlvuZ_zDNE/edit?usp=share_link"",""พัทลุง!J651"")+IMPORTRANGE(""https://docs.google.com/spreadsheets/d/1o7UZe4_OqlqtLDHrj01Z2YFRSZDf1DMy1n3XViHaxRc/edit?usp=share_link"",""ภูเก็ต!J651"")+IMPORTRANGE(""https://docs.google.c"&amp;"om/spreadsheets/d/1ctPm1vUzcUCPuOj9-eoHUD85PqINFqUB0TjdSWmR5-c/edit?usp=share_link"",""ยะลา!J651"")+IMPORTRANGE(""https://docs.google.com/spreadsheets/d/1YiDIE7Klmt8osgdapRqYWNr7iPGFSsiJqq46S7PYRE0/edit?usp=share_link"",""ระนอง!J651"")+IMPORTRANGE(""https"&amp;"://docs.google.com/spreadsheets/d/16o_4B-V7AWw_6E93bSpXj_XxVv1oVQctk-B6z1dNEWU/edit?usp=share_link"",""สงขลา!J651"")+IMPORTRANGE(""https://docs.google.com/spreadsheets/d/16cywr71Fj4fA5OGRHsZh30ZG2gwJhMAQv69oVBzYHv0/edit?usp=share_link"",""สตูล!J651"")+IMP"&amp;"ORTRANGE(""https://docs.google.com/spreadsheets/d/1vO9Sws6kMtrVtyvrAJptINXjK8TFBoX9xLYOVK_C8bQ/edit?usp=share_link"",""สุราษฎร์ธานี!J651"")"),81)</f>
        <v>81</v>
      </c>
      <c r="K651" s="163">
        <f t="shared" ca="1" si="308"/>
        <v>25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20.25" customHeight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383">
        <v>0</v>
      </c>
      <c r="J652" s="505">
        <f ca="1">IFERROR(__xludf.DUMMYFUNCTION("IMPORTRANGE(""https://docs.google.com/spreadsheets/d/1kC41EOXpGBFOW658Fs3oD8beYlym0-zO54WY-2Qnp9I/edit?usp=share_link"",""กระบี่!J652"")
+IMPORTRANGE(""https://docs.google.com/spreadsheets/d/1FbzMZY_f3MDiEuK7RpCQKrilJ_kpX0Wm7QBZ1L7EjIU/edit?usp=share_link"&amp;""",""ชุมพร!J652"")+IMPORTRANGE(""https://docs.google.com/spreadsheets/d/1v5sN-00LrXuhBxw4dkh2GrG_z4l5oAqOdJRBCsUyMaM/edit?usp=share_link"",""ตรัง!J652"")+IMPORTRANGE(""https://docs.google.com/spreadsheets/d/1T5rRTzFc79aSIvqnzkZNvwPstq829QYz_xALlO1Z0s8/edi"&amp;"t?usp=share_link"",""นครศรีธรรมราช!J652"")+IMPORTRANGE(""https://docs.google.com/spreadsheets/d/1BeghqumK0IvCmRd2QOy6_afsZq7ZtAGrSnVJy2u7WmY/edit?usp=share_link"",""นราธิวาส!J652"")+IMPORTRANGE(""https://docs.google.com/spreadsheets/d/1IwnW3-jjRf74MCLW-6P"&amp;"iFwMUffRQXZwZA7YM609NmRc/edit?usp=share_link"",""ปัตตานี!J652"")+IMPORTRANGE(""https://docs.google.com/spreadsheets/d/1vl4QWbWdFruual5o_wdo6ZSqXZ_it806oja4CctTLKs/edit?usp=share_link"",""พังงา!J652"")+IMPORTRANGE(""https://docs.google.com/spreadsheets/d/1"&amp;"b6QssHQp2FoAPSMKHOy273KNzAomaIKhtdlvuZ_zDNE/edit?usp=share_link"",""พัทลุง!J652"")+IMPORTRANGE(""https://docs.google.com/spreadsheets/d/1o7UZe4_OqlqtLDHrj01Z2YFRSZDf1DMy1n3XViHaxRc/edit?usp=share_link"",""ภูเก็ต!J652"")+IMPORTRANGE(""https://docs.google.c"&amp;"om/spreadsheets/d/1ctPm1vUzcUCPuOj9-eoHUD85PqINFqUB0TjdSWmR5-c/edit?usp=share_link"",""ยะลา!J652"")+IMPORTRANGE(""https://docs.google.com/spreadsheets/d/1YiDIE7Klmt8osgdapRqYWNr7iPGFSsiJqq46S7PYRE0/edit?usp=share_link"",""ระนอง!J652"")+IMPORTRANGE(""https"&amp;"://docs.google.com/spreadsheets/d/16o_4B-V7AWw_6E93bSpXj_XxVv1oVQctk-B6z1dNEWU/edit?usp=share_link"",""สงขลา!J652"")+IMPORTRANGE(""https://docs.google.com/spreadsheets/d/16cywr71Fj4fA5OGRHsZh30ZG2gwJhMAQv69oVBzYHv0/edit?usp=share_link"",""สตูล!J652"")+IMP"&amp;"ORTRANGE(""https://docs.google.com/spreadsheets/d/1vO9Sws6kMtrVtyvrAJptINXjK8TFBoX9xLYOVK_C8bQ/edit?usp=share_link"",""สุราษฎร์ธานี!J652"")"),22)</f>
        <v>22</v>
      </c>
      <c r="K652" s="506">
        <f t="shared" si="308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20.25" customHeight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20.25" customHeight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675">
        <f t="shared" ref="I654:J654" ca="1" si="309">I669</f>
        <v>250</v>
      </c>
      <c r="J654" s="675">
        <f t="shared" ca="1" si="309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20.25" customHeight="1">
      <c r="A655" s="596"/>
      <c r="B655" s="575"/>
      <c r="C655" s="575" t="s">
        <v>16</v>
      </c>
      <c r="D655" s="848" t="s">
        <v>17</v>
      </c>
      <c r="E655" s="842"/>
      <c r="F655" s="842"/>
      <c r="G655" s="189"/>
      <c r="H655" s="597" t="s">
        <v>12</v>
      </c>
      <c r="I655" s="37"/>
      <c r="J655" s="37"/>
      <c r="K655" s="38"/>
      <c r="L655" s="195">
        <f t="shared" ref="L655:N655" ca="1" si="310">L656+L657</f>
        <v>55000</v>
      </c>
      <c r="M655" s="195">
        <f t="shared" ca="1" si="310"/>
        <v>55000</v>
      </c>
      <c r="N655" s="195">
        <f t="shared" ca="1" si="310"/>
        <v>38617.4</v>
      </c>
      <c r="O655" s="195">
        <f t="shared" ref="O655:O660" ca="1" si="311">IF(L655&gt;0,N655*100/L655,0)</f>
        <v>70.213454545454539</v>
      </c>
      <c r="P655" s="195">
        <f t="shared" ref="P655:P660" ca="1" si="312">IF(M655&gt;0,N655*100/M655,0)</f>
        <v>70.213454545454539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20.25" hidden="1" customHeight="1">
      <c r="A656" s="598"/>
      <c r="B656" s="599"/>
      <c r="C656" s="599"/>
      <c r="D656" s="600"/>
      <c r="E656" s="601" t="s">
        <v>185</v>
      </c>
      <c r="F656" s="599"/>
      <c r="G656" s="602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20.25" hidden="1" customHeight="1">
      <c r="A657" s="598"/>
      <c r="B657" s="604"/>
      <c r="C657" s="599"/>
      <c r="D657" s="600"/>
      <c r="E657" s="601" t="s">
        <v>186</v>
      </c>
      <c r="F657" s="599"/>
      <c r="G657" s="602"/>
      <c r="H657" s="165" t="s">
        <v>12</v>
      </c>
      <c r="I657" s="44"/>
      <c r="J657" s="44"/>
      <c r="K657" s="45"/>
      <c r="L657" s="45">
        <f t="shared" ref="L657:N657" ca="1" si="314">L660+L667</f>
        <v>55000</v>
      </c>
      <c r="M657" s="45">
        <f t="shared" ca="1" si="314"/>
        <v>55000</v>
      </c>
      <c r="N657" s="45">
        <f t="shared" ca="1" si="314"/>
        <v>38617.4</v>
      </c>
      <c r="O657" s="45">
        <f t="shared" ca="1" si="311"/>
        <v>70.213454545454539</v>
      </c>
      <c r="P657" s="45">
        <f t="shared" ca="1" si="312"/>
        <v>70.213454545454539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20.25" customHeight="1">
      <c r="A658" s="596"/>
      <c r="B658" s="574"/>
      <c r="C658" s="575"/>
      <c r="D658" s="605" t="s">
        <v>20</v>
      </c>
      <c r="E658" s="575"/>
      <c r="F658" s="575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55000</v>
      </c>
      <c r="M658" s="38">
        <f t="shared" ca="1" si="315"/>
        <v>55000</v>
      </c>
      <c r="N658" s="38">
        <f t="shared" ca="1" si="315"/>
        <v>38617.4</v>
      </c>
      <c r="O658" s="38">
        <f t="shared" ca="1" si="311"/>
        <v>70.213454545454539</v>
      </c>
      <c r="P658" s="38">
        <f t="shared" ca="1" si="312"/>
        <v>70.213454545454539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20.25" hidden="1" customHeight="1">
      <c r="A659" s="598"/>
      <c r="B659" s="604"/>
      <c r="C659" s="599"/>
      <c r="D659" s="600"/>
      <c r="E659" s="601" t="s">
        <v>185</v>
      </c>
      <c r="F659" s="599"/>
      <c r="G659" s="602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20.25" hidden="1" customHeight="1">
      <c r="A660" s="598"/>
      <c r="B660" s="604"/>
      <c r="C660" s="599"/>
      <c r="D660" s="600"/>
      <c r="E660" s="601" t="s">
        <v>186</v>
      </c>
      <c r="F660" s="599"/>
      <c r="G660" s="602"/>
      <c r="H660" s="165" t="s">
        <v>12</v>
      </c>
      <c r="I660" s="44"/>
      <c r="J660" s="44"/>
      <c r="K660" s="45"/>
      <c r="L660" s="45">
        <f ca="1">IFERROR(__xludf.DUMMYFUNCTION("IMPORTRANGE(""https://docs.google.com/spreadsheets/d/1kC41EOXpGBFOW658Fs3oD8beYlym0-zO54WY-2Qnp9I/edit?usp=share_link"",""กระบี่!L660"")
+IMPORTRANGE(""https://docs.google.com/spreadsheets/d/1FbzMZY_f3MDiEuK7RpCQKrilJ_kpX0Wm7QBZ1L7EjIU/edit?usp=share_link"&amp;""",""ชุมพร!L660"")+IMPORTRANGE(""https://docs.google.com/spreadsheets/d/1v5sN-00LrXuhBxw4dkh2GrG_z4l5oAqOdJRBCsUyMaM/edit?usp=share_link"",""ตรัง!L660"")+IMPORTRANGE(""https://docs.google.com/spreadsheets/d/1T5rRTzFc79aSIvqnzkZNvwPstq829QYz_xALlO1Z0s8/edi"&amp;"t?usp=share_link"",""นครศรีธรรมราช!L660"")+IMPORTRANGE(""https://docs.google.com/spreadsheets/d/1BeghqumK0IvCmRd2QOy6_afsZq7ZtAGrSnVJy2u7WmY/edit?usp=share_link"",""นราธิวาส!L660"")+IMPORTRANGE(""https://docs.google.com/spreadsheets/d/1IwnW3-jjRf74MCLW-6P"&amp;"iFwMUffRQXZwZA7YM609NmRc/edit?usp=share_link"",""ปัตตานี!L660"")+IMPORTRANGE(""https://docs.google.com/spreadsheets/d/1vl4QWbWdFruual5o_wdo6ZSqXZ_it806oja4CctTLKs/edit?usp=share_link"",""พังงา!L660"")+IMPORTRANGE(""https://docs.google.com/spreadsheets/d/1"&amp;"b6QssHQp2FoAPSMKHOy273KNzAomaIKhtdlvuZ_zDNE/edit?usp=share_link"",""พัทลุง!L660"")+IMPORTRANGE(""https://docs.google.com/spreadsheets/d/1o7UZe4_OqlqtLDHrj01Z2YFRSZDf1DMy1n3XViHaxRc/edit?usp=share_link"",""ภูเก็ต!L660"")+IMPORTRANGE(""https://docs.google.c"&amp;"om/spreadsheets/d/1ctPm1vUzcUCPuOj9-eoHUD85PqINFqUB0TjdSWmR5-c/edit?usp=share_link"",""ยะลา!L660"")+IMPORTRANGE(""https://docs.google.com/spreadsheets/d/1YiDIE7Klmt8osgdapRqYWNr7iPGFSsiJqq46S7PYRE0/edit?usp=share_link"",""ระนอง!L660"")+IMPORTRANGE(""https"&amp;"://docs.google.com/spreadsheets/d/16o_4B-V7AWw_6E93bSpXj_XxVv1oVQctk-B6z1dNEWU/edit?usp=share_link"",""สงขลา!L660"")+IMPORTRANGE(""https://docs.google.com/spreadsheets/d/16cywr71Fj4fA5OGRHsZh30ZG2gwJhMAQv69oVBzYHv0/edit?usp=share_link"",""สตูล!L660"")+IMP"&amp;"ORTRANGE(""https://docs.google.com/spreadsheets/d/1vO9Sws6kMtrVtyvrAJptINXjK8TFBoX9xLYOVK_C8bQ/edit?usp=share_link"",""สุราษฎร์ธานี!L660"")"),55000)</f>
        <v>55000</v>
      </c>
      <c r="M660" s="93">
        <f ca="1">IFERROR(__xludf.DUMMYFUNCTION("IMPORTRANGE(""https://docs.google.com/spreadsheets/d/1kC41EOXpGBFOW658Fs3oD8beYlym0-zO54WY-2Qnp9I/edit?usp=share_link"",""กระบี่!M660"")
+IMPORTRANGE(""https://docs.google.com/spreadsheets/d/1FbzMZY_f3MDiEuK7RpCQKrilJ_kpX0Wm7QBZ1L7EjIU/edit?usp=share_link"&amp;""",""ชุมพร!M660"")+IMPORTRANGE(""https://docs.google.com/spreadsheets/d/1v5sN-00LrXuhBxw4dkh2GrG_z4l5oAqOdJRBCsUyMaM/edit?usp=share_link"",""ตรัง!M660"")+IMPORTRANGE(""https://docs.google.com/spreadsheets/d/1T5rRTzFc79aSIvqnzkZNvwPstq829QYz_xALlO1Z0s8/edi"&amp;"t?usp=share_link"",""นครศรีธรรมราช!M660"")+IMPORTRANGE(""https://docs.google.com/spreadsheets/d/1BeghqumK0IvCmRd2QOy6_afsZq7ZtAGrSnVJy2u7WmY/edit?usp=share_link"",""นราธิวาส!M660"")+IMPORTRANGE(""https://docs.google.com/spreadsheets/d/1IwnW3-jjRf74MCLW-6P"&amp;"iFwMUffRQXZwZA7YM609NmRc/edit?usp=share_link"",""ปัตตานี!M660"")+IMPORTRANGE(""https://docs.google.com/spreadsheets/d/1vl4QWbWdFruual5o_wdo6ZSqXZ_it806oja4CctTLKs/edit?usp=share_link"",""พังงา!M660"")+IMPORTRANGE(""https://docs.google.com/spreadsheets/d/1"&amp;"b6QssHQp2FoAPSMKHOy273KNzAomaIKhtdlvuZ_zDNE/edit?usp=share_link"",""พัทลุง!M660"")+IMPORTRANGE(""https://docs.google.com/spreadsheets/d/1o7UZe4_OqlqtLDHrj01Z2YFRSZDf1DMy1n3XViHaxRc/edit?usp=share_link"",""ภูเก็ต!M660"")+IMPORTRANGE(""https://docs.google.c"&amp;"om/spreadsheets/d/1ctPm1vUzcUCPuOj9-eoHUD85PqINFqUB0TjdSWmR5-c/edit?usp=share_link"",""ยะลา!M660"")+IMPORTRANGE(""https://docs.google.com/spreadsheets/d/1YiDIE7Klmt8osgdapRqYWNr7iPGFSsiJqq46S7PYRE0/edit?usp=share_link"",""ระนอง!M660"")+IMPORTRANGE(""https"&amp;"://docs.google.com/spreadsheets/d/16o_4B-V7AWw_6E93bSpXj_XxVv1oVQctk-B6z1dNEWU/edit?usp=share_link"",""สงขลา!M660"")+IMPORTRANGE(""https://docs.google.com/spreadsheets/d/16cywr71Fj4fA5OGRHsZh30ZG2gwJhMAQv69oVBzYHv0/edit?usp=share_link"",""สตูล!M660"")+IMP"&amp;"ORTRANGE(""https://docs.google.com/spreadsheets/d/1vO9Sws6kMtrVtyvrAJptINXjK8TFBoX9xLYOVK_C8bQ/edit?usp=share_link"",""สุราษฎร์ธานี!M660"")"),55000)</f>
        <v>55000</v>
      </c>
      <c r="N660" s="45">
        <f ca="1">N661+N662+N663+N664</f>
        <v>38617.4</v>
      </c>
      <c r="O660" s="45">
        <f t="shared" ca="1" si="311"/>
        <v>70.213454545454539</v>
      </c>
      <c r="P660" s="45">
        <f t="shared" ca="1" si="312"/>
        <v>70.213454545454539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20.25" customHeight="1">
      <c r="A661" s="573"/>
      <c r="B661" s="574"/>
      <c r="C661" s="575"/>
      <c r="D661" s="575"/>
      <c r="E661" s="575"/>
      <c r="F661" s="576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IFERROR(__xludf.DUMMYFUNCTION("IMPORTRANGE(""https://docs.google.com/spreadsheets/d/1kC41EOXpGBFOW658Fs3oD8beYlym0-zO54WY-2Qnp9I/edit?usp=share_link"",""กระบี่!N661"")
+IMPORTRANGE(""https://docs.google.com/spreadsheets/d/1FbzMZY_f3MDiEuK7RpCQKrilJ_kpX0Wm7QBZ1L7EjIU/edit?usp=share_link"&amp;""",""ชุมพร!N661"")+IMPORTRANGE(""https://docs.google.com/spreadsheets/d/1v5sN-00LrXuhBxw4dkh2GrG_z4l5oAqOdJRBCsUyMaM/edit?usp=share_link"",""ตรัง!N661"")+IMPORTRANGE(""https://docs.google.com/spreadsheets/d/1T5rRTzFc79aSIvqnzkZNvwPstq829QYz_xALlO1Z0s8/edi"&amp;"t?usp=share_link"",""นครศรีธรรมราช!N661"")+IMPORTRANGE(""https://docs.google.com/spreadsheets/d/1BeghqumK0IvCmRd2QOy6_afsZq7ZtAGrSnVJy2u7WmY/edit?usp=share_link"",""นราธิวาส!N661"")+IMPORTRANGE(""https://docs.google.com/spreadsheets/d/1IwnW3-jjRf74MCLW-6P"&amp;"iFwMUffRQXZwZA7YM609NmRc/edit?usp=share_link"",""ปัตตานี!N661"")+IMPORTRANGE(""https://docs.google.com/spreadsheets/d/1vl4QWbWdFruual5o_wdo6ZSqXZ_it806oja4CctTLKs/edit?usp=share_link"",""พังงา!N661"")+IMPORTRANGE(""https://docs.google.com/spreadsheets/d/1"&amp;"b6QssHQp2FoAPSMKHOy273KNzAomaIKhtdlvuZ_zDNE/edit?usp=share_link"",""พัทลุง!N661"")+IMPORTRANGE(""https://docs.google.com/spreadsheets/d/1o7UZe4_OqlqtLDHrj01Z2YFRSZDf1DMy1n3XViHaxRc/edit?usp=share_link"",""ภูเก็ต!N661"")+IMPORTRANGE(""https://docs.google.c"&amp;"om/spreadsheets/d/1ctPm1vUzcUCPuOj9-eoHUD85PqINFqUB0TjdSWmR5-c/edit?usp=share_link"",""ยะลา!N661"")+IMPORTRANGE(""https://docs.google.com/spreadsheets/d/1YiDIE7Klmt8osgdapRqYWNr7iPGFSsiJqq46S7PYRE0/edit?usp=share_link"",""ระนอง!N661"")+IMPORTRANGE(""https"&amp;"://docs.google.com/spreadsheets/d/16o_4B-V7AWw_6E93bSpXj_XxVv1oVQctk-B6z1dNEWU/edit?usp=share_link"",""สงขลา!N661"")+IMPORTRANGE(""https://docs.google.com/spreadsheets/d/16cywr71Fj4fA5OGRHsZh30ZG2gwJhMAQv69oVBzYHv0/edit?usp=share_link"",""สตูล!N661"")+IMP"&amp;"ORTRANGE(""https://docs.google.com/spreadsheets/d/1vO9Sws6kMtrVtyvrAJptINXjK8TFBoX9xLYOVK_C8bQ/edit?usp=share_link"",""สุราษฎร์ธานี!N661"")"),0)</f>
        <v>0</v>
      </c>
      <c r="O661" s="38"/>
      <c r="P661" s="3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20.25" customHeight="1">
      <c r="A662" s="573"/>
      <c r="B662" s="574"/>
      <c r="C662" s="575"/>
      <c r="D662" s="575"/>
      <c r="E662" s="575"/>
      <c r="F662" s="576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IFERROR(__xludf.DUMMYFUNCTION("IMPORTRANGE(""https://docs.google.com/spreadsheets/d/1kC41EOXpGBFOW658Fs3oD8beYlym0-zO54WY-2Qnp9I/edit?usp=share_link"",""กระบี่!N662"")
+IMPORTRANGE(""https://docs.google.com/spreadsheets/d/1FbzMZY_f3MDiEuK7RpCQKrilJ_kpX0Wm7QBZ1L7EjIU/edit?usp=share_link"&amp;""",""ชุมพร!N662"")+IMPORTRANGE(""https://docs.google.com/spreadsheets/d/1v5sN-00LrXuhBxw4dkh2GrG_z4l5oAqOdJRBCsUyMaM/edit?usp=share_link"",""ตรัง!N662"")+IMPORTRANGE(""https://docs.google.com/spreadsheets/d/1T5rRTzFc79aSIvqnzkZNvwPstq829QYz_xALlO1Z0s8/edi"&amp;"t?usp=share_link"",""นครศรีธรรมราช!N662"")+IMPORTRANGE(""https://docs.google.com/spreadsheets/d/1BeghqumK0IvCmRd2QOy6_afsZq7ZtAGrSnVJy2u7WmY/edit?usp=share_link"",""นราธิวาส!N662"")+IMPORTRANGE(""https://docs.google.com/spreadsheets/d/1IwnW3-jjRf74MCLW-6P"&amp;"iFwMUffRQXZwZA7YM609NmRc/edit?usp=share_link"",""ปัตตานี!N662"")+IMPORTRANGE(""https://docs.google.com/spreadsheets/d/1vl4QWbWdFruual5o_wdo6ZSqXZ_it806oja4CctTLKs/edit?usp=share_link"",""พังงา!N662"")+IMPORTRANGE(""https://docs.google.com/spreadsheets/d/1"&amp;"b6QssHQp2FoAPSMKHOy273KNzAomaIKhtdlvuZ_zDNE/edit?usp=share_link"",""พัทลุง!N662"")+IMPORTRANGE(""https://docs.google.com/spreadsheets/d/1o7UZe4_OqlqtLDHrj01Z2YFRSZDf1DMy1n3XViHaxRc/edit?usp=share_link"",""ภูเก็ต!N662"")+IMPORTRANGE(""https://docs.google.c"&amp;"om/spreadsheets/d/1ctPm1vUzcUCPuOj9-eoHUD85PqINFqUB0TjdSWmR5-c/edit?usp=share_link"",""ยะลา!N662"")+IMPORTRANGE(""https://docs.google.com/spreadsheets/d/1YiDIE7Klmt8osgdapRqYWNr7iPGFSsiJqq46S7PYRE0/edit?usp=share_link"",""ระนอง!N662"")+IMPORTRANGE(""https"&amp;"://docs.google.com/spreadsheets/d/16o_4B-V7AWw_6E93bSpXj_XxVv1oVQctk-B6z1dNEWU/edit?usp=share_link"",""สงขลา!N662"")+IMPORTRANGE(""https://docs.google.com/spreadsheets/d/16cywr71Fj4fA5OGRHsZh30ZG2gwJhMAQv69oVBzYHv0/edit?usp=share_link"",""สตูล!N662"")+IMP"&amp;"ORTRANGE(""https://docs.google.com/spreadsheets/d/1vO9Sws6kMtrVtyvrAJptINXjK8TFBoX9xLYOVK_C8bQ/edit?usp=share_link"",""สุราษฎร์ธานี!N662"")"),0)</f>
        <v>0</v>
      </c>
      <c r="O662" s="38"/>
      <c r="P662" s="3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20.25" customHeight="1">
      <c r="A663" s="573"/>
      <c r="B663" s="574"/>
      <c r="C663" s="574"/>
      <c r="D663" s="575"/>
      <c r="E663" s="575"/>
      <c r="F663" s="576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IFERROR(__xludf.DUMMYFUNCTION("IMPORTRANGE(""https://docs.google.com/spreadsheets/d/1kC41EOXpGBFOW658Fs3oD8beYlym0-zO54WY-2Qnp9I/edit?usp=share_link"",""กระบี่!N663"")
+IMPORTRANGE(""https://docs.google.com/spreadsheets/d/1FbzMZY_f3MDiEuK7RpCQKrilJ_kpX0Wm7QBZ1L7EjIU/edit?usp=share_link"&amp;""",""ชุมพร!N663"")+IMPORTRANGE(""https://docs.google.com/spreadsheets/d/1v5sN-00LrXuhBxw4dkh2GrG_z4l5oAqOdJRBCsUyMaM/edit?usp=share_link"",""ตรัง!N663"")+IMPORTRANGE(""https://docs.google.com/spreadsheets/d/1T5rRTzFc79aSIvqnzkZNvwPstq829QYz_xALlO1Z0s8/edi"&amp;"t?usp=share_link"",""นครศรีธรรมราช!N663"")+IMPORTRANGE(""https://docs.google.com/spreadsheets/d/1BeghqumK0IvCmRd2QOy6_afsZq7ZtAGrSnVJy2u7WmY/edit?usp=share_link"",""นราธิวาส!N663"")+IMPORTRANGE(""https://docs.google.com/spreadsheets/d/1IwnW3-jjRf74MCLW-6P"&amp;"iFwMUffRQXZwZA7YM609NmRc/edit?usp=share_link"",""ปัตตานี!N663"")+IMPORTRANGE(""https://docs.google.com/spreadsheets/d/1vl4QWbWdFruual5o_wdo6ZSqXZ_it806oja4CctTLKs/edit?usp=share_link"",""พังงา!N663"")+IMPORTRANGE(""https://docs.google.com/spreadsheets/d/1"&amp;"b6QssHQp2FoAPSMKHOy273KNzAomaIKhtdlvuZ_zDNE/edit?usp=share_link"",""พัทลุง!N663"")+IMPORTRANGE(""https://docs.google.com/spreadsheets/d/1o7UZe4_OqlqtLDHrj01Z2YFRSZDf1DMy1n3XViHaxRc/edit?usp=share_link"",""ภูเก็ต!N663"")+IMPORTRANGE(""https://docs.google.c"&amp;"om/spreadsheets/d/1ctPm1vUzcUCPuOj9-eoHUD85PqINFqUB0TjdSWmR5-c/edit?usp=share_link"",""ยะลา!N663"")+IMPORTRANGE(""https://docs.google.com/spreadsheets/d/1YiDIE7Klmt8osgdapRqYWNr7iPGFSsiJqq46S7PYRE0/edit?usp=share_link"",""ระนอง!N663"")+IMPORTRANGE(""https"&amp;"://docs.google.com/spreadsheets/d/16o_4B-V7AWw_6E93bSpXj_XxVv1oVQctk-B6z1dNEWU/edit?usp=share_link"",""สงขลา!N663"")+IMPORTRANGE(""https://docs.google.com/spreadsheets/d/16cywr71Fj4fA5OGRHsZh30ZG2gwJhMAQv69oVBzYHv0/edit?usp=share_link"",""สตูล!N663"")+IMP"&amp;"ORTRANGE(""https://docs.google.com/spreadsheets/d/1vO9Sws6kMtrVtyvrAJptINXjK8TFBoX9xLYOVK_C8bQ/edit?usp=share_link"",""สุราษฎร์ธานี!N663"")"),0)</f>
        <v>0</v>
      </c>
      <c r="O663" s="38"/>
      <c r="P663" s="3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20.25" customHeight="1">
      <c r="A664" s="573"/>
      <c r="B664" s="574"/>
      <c r="C664" s="574"/>
      <c r="D664" s="574"/>
      <c r="E664" s="575"/>
      <c r="F664" s="576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IFERROR(__xludf.DUMMYFUNCTION("IMPORTRANGE(""https://docs.google.com/spreadsheets/d/1kC41EOXpGBFOW658Fs3oD8beYlym0-zO54WY-2Qnp9I/edit?usp=share_link"",""กระบี่!N664"")
+IMPORTRANGE(""https://docs.google.com/spreadsheets/d/1FbzMZY_f3MDiEuK7RpCQKrilJ_kpX0Wm7QBZ1L7EjIU/edit?usp=share_link"&amp;""",""ชุมพร!N664"")+IMPORTRANGE(""https://docs.google.com/spreadsheets/d/1v5sN-00LrXuhBxw4dkh2GrG_z4l5oAqOdJRBCsUyMaM/edit?usp=share_link"",""ตรัง!N664"")+IMPORTRANGE(""https://docs.google.com/spreadsheets/d/1T5rRTzFc79aSIvqnzkZNvwPstq829QYz_xALlO1Z0s8/edi"&amp;"t?usp=share_link"",""นครศรีธรรมราช!N664"")+IMPORTRANGE(""https://docs.google.com/spreadsheets/d/1BeghqumK0IvCmRd2QOy6_afsZq7ZtAGrSnVJy2u7WmY/edit?usp=share_link"",""นราธิวาส!N664"")+IMPORTRANGE(""https://docs.google.com/spreadsheets/d/1IwnW3-jjRf74MCLW-6P"&amp;"iFwMUffRQXZwZA7YM609NmRc/edit?usp=share_link"",""ปัตตานี!N664"")+IMPORTRANGE(""https://docs.google.com/spreadsheets/d/1vl4QWbWdFruual5o_wdo6ZSqXZ_it806oja4CctTLKs/edit?usp=share_link"",""พังงา!N664"")+IMPORTRANGE(""https://docs.google.com/spreadsheets/d/1"&amp;"b6QssHQp2FoAPSMKHOy273KNzAomaIKhtdlvuZ_zDNE/edit?usp=share_link"",""พัทลุง!N664"")+IMPORTRANGE(""https://docs.google.com/spreadsheets/d/1o7UZe4_OqlqtLDHrj01Z2YFRSZDf1DMy1n3XViHaxRc/edit?usp=share_link"",""ภูเก็ต!N664"")+IMPORTRANGE(""https://docs.google.c"&amp;"om/spreadsheets/d/1ctPm1vUzcUCPuOj9-eoHUD85PqINFqUB0TjdSWmR5-c/edit?usp=share_link"",""ยะลา!N664"")+IMPORTRANGE(""https://docs.google.com/spreadsheets/d/1YiDIE7Klmt8osgdapRqYWNr7iPGFSsiJqq46S7PYRE0/edit?usp=share_link"",""ระนอง!N664"")+IMPORTRANGE(""https"&amp;"://docs.google.com/spreadsheets/d/16o_4B-V7AWw_6E93bSpXj_XxVv1oVQctk-B6z1dNEWU/edit?usp=share_link"",""สงขลา!N664"")+IMPORTRANGE(""https://docs.google.com/spreadsheets/d/16cywr71Fj4fA5OGRHsZh30ZG2gwJhMAQv69oVBzYHv0/edit?usp=share_link"",""สตูล!N664"")+IMP"&amp;"ORTRANGE(""https://docs.google.com/spreadsheets/d/1vO9Sws6kMtrVtyvrAJptINXjK8TFBoX9xLYOVK_C8bQ/edit?usp=share_link"",""สุราษฎร์ธานี!N664"")"),38617.4)</f>
        <v>38617.4</v>
      </c>
      <c r="O664" s="38"/>
      <c r="P664" s="3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20.25" customHeight="1">
      <c r="A665" s="596"/>
      <c r="B665" s="574"/>
      <c r="C665" s="574"/>
      <c r="D665" s="605" t="s">
        <v>21</v>
      </c>
      <c r="E665" s="575"/>
      <c r="F665" s="575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20.25" hidden="1" customHeight="1">
      <c r="A666" s="598"/>
      <c r="B666" s="604"/>
      <c r="C666" s="604"/>
      <c r="D666" s="604"/>
      <c r="E666" s="601" t="s">
        <v>18</v>
      </c>
      <c r="F666" s="599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20.25" hidden="1" customHeight="1">
      <c r="A667" s="598"/>
      <c r="B667" s="604"/>
      <c r="C667" s="604"/>
      <c r="D667" s="604"/>
      <c r="E667" s="601" t="s">
        <v>19</v>
      </c>
      <c r="F667" s="599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20.25" customHeight="1">
      <c r="A668" s="607"/>
      <c r="B668" s="608"/>
      <c r="C668" s="574" t="s">
        <v>16</v>
      </c>
      <c r="D668" s="609" t="s">
        <v>38</v>
      </c>
      <c r="E668" s="611"/>
      <c r="F668" s="611"/>
      <c r="G668" s="612"/>
      <c r="H668" s="175"/>
      <c r="I668" s="162"/>
      <c r="J668" s="162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20.25" customHeight="1">
      <c r="A669" s="607"/>
      <c r="B669" s="608"/>
      <c r="C669" s="608"/>
      <c r="D669" s="617" t="s">
        <v>281</v>
      </c>
      <c r="E669" s="618"/>
      <c r="F669" s="618"/>
      <c r="G669" s="175"/>
      <c r="H669" s="751" t="s">
        <v>46</v>
      </c>
      <c r="I669" s="194">
        <f ca="1">IFERROR(__xludf.DUMMYFUNCTION("IMPORTRANGE(""https://docs.google.com/spreadsheets/d/1kC41EOXpGBFOW658Fs3oD8beYlym0-zO54WY-2Qnp9I/edit?usp=share_link"",""กระบี่!I669"")
+IMPORTRANGE(""https://docs.google.com/spreadsheets/d/1FbzMZY_f3MDiEuK7RpCQKrilJ_kpX0Wm7QBZ1L7EjIU/edit?usp=share_link"&amp;""",""ชุมพร!I669"")+IMPORTRANGE(""https://docs.google.com/spreadsheets/d/1v5sN-00LrXuhBxw4dkh2GrG_z4l5oAqOdJRBCsUyMaM/edit?usp=share_link"",""ตรัง!I669"")+IMPORTRANGE(""https://docs.google.com/spreadsheets/d/1T5rRTzFc79aSIvqnzkZNvwPstq829QYz_xALlO1Z0s8/edi"&amp;"t?usp=share_link"",""นครศรีธรรมราช!I669"")+IMPORTRANGE(""https://docs.google.com/spreadsheets/d/1BeghqumK0IvCmRd2QOy6_afsZq7ZtAGrSnVJy2u7WmY/edit?usp=share_link"",""นราธิวาส!I669"")+IMPORTRANGE(""https://docs.google.com/spreadsheets/d/1IwnW3-jjRf74MCLW-6P"&amp;"iFwMUffRQXZwZA7YM609NmRc/edit?usp=share_link"",""ปัตตานี!I669"")+IMPORTRANGE(""https://docs.google.com/spreadsheets/d/1vl4QWbWdFruual5o_wdo6ZSqXZ_it806oja4CctTLKs/edit?usp=share_link"",""พังงา!I669"")+IMPORTRANGE(""https://docs.google.com/spreadsheets/d/1"&amp;"b6QssHQp2FoAPSMKHOy273KNzAomaIKhtdlvuZ_zDNE/edit?usp=share_link"",""พัทลุง!I669"")+IMPORTRANGE(""https://docs.google.com/spreadsheets/d/1o7UZe4_OqlqtLDHrj01Z2YFRSZDf1DMy1n3XViHaxRc/edit?usp=share_link"",""ภูเก็ต!I669"")+IMPORTRANGE(""https://docs.google.c"&amp;"om/spreadsheets/d/1ctPm1vUzcUCPuOj9-eoHUD85PqINFqUB0TjdSWmR5-c/edit?usp=share_link"",""ยะลา!I669"")+IMPORTRANGE(""https://docs.google.com/spreadsheets/d/1YiDIE7Klmt8osgdapRqYWNr7iPGFSsiJqq46S7PYRE0/edit?usp=share_link"",""ระนอง!I669"")+IMPORTRANGE(""https"&amp;"://docs.google.com/spreadsheets/d/16o_4B-V7AWw_6E93bSpXj_XxVv1oVQctk-B6z1dNEWU/edit?usp=share_link"",""สงขลา!I669"")+IMPORTRANGE(""https://docs.google.com/spreadsheets/d/16cywr71Fj4fA5OGRHsZh30ZG2gwJhMAQv69oVBzYHv0/edit?usp=share_link"",""สตูล!I669"")+IMP"&amp;"ORTRANGE(""https://docs.google.com/spreadsheets/d/1vO9Sws6kMtrVtyvrAJptINXjK8TFBoX9xLYOVK_C8bQ/edit?usp=share_link"",""สุราษฎร์ธานี!I669"")"),250)</f>
        <v>250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20.25" customHeight="1">
      <c r="A670" s="607"/>
      <c r="B670" s="608"/>
      <c r="C670" s="608"/>
      <c r="D670" s="608"/>
      <c r="E670" s="187" t="s">
        <v>282</v>
      </c>
      <c r="F670" s="618"/>
      <c r="G670" s="175"/>
      <c r="H670" s="449" t="s">
        <v>66</v>
      </c>
      <c r="I670" s="37">
        <f ca="1">IFERROR(__xludf.DUMMYFUNCTION("IMPORTRANGE(""https://docs.google.com/spreadsheets/d/1kC41EOXpGBFOW658Fs3oD8beYlym0-zO54WY-2Qnp9I/edit?usp=share_link"",""กระบี่!I670"")
+IMPORTRANGE(""https://docs.google.com/spreadsheets/d/1FbzMZY_f3MDiEuK7RpCQKrilJ_kpX0Wm7QBZ1L7EjIU/edit?usp=share_link"&amp;""",""ชุมพร!I670"")+IMPORTRANGE(""https://docs.google.com/spreadsheets/d/1v5sN-00LrXuhBxw4dkh2GrG_z4l5oAqOdJRBCsUyMaM/edit?usp=share_link"",""ตรัง!I670"")+IMPORTRANGE(""https://docs.google.com/spreadsheets/d/1T5rRTzFc79aSIvqnzkZNvwPstq829QYz_xALlO1Z0s8/edi"&amp;"t?usp=share_link"",""นครศรีธรรมราช!I670"")+IMPORTRANGE(""https://docs.google.com/spreadsheets/d/1BeghqumK0IvCmRd2QOy6_afsZq7ZtAGrSnVJy2u7WmY/edit?usp=share_link"",""นราธิวาส!I670"")+IMPORTRANGE(""https://docs.google.com/spreadsheets/d/1IwnW3-jjRf74MCLW-6P"&amp;"iFwMUffRQXZwZA7YM609NmRc/edit?usp=share_link"",""ปัตตานี!I670"")+IMPORTRANGE(""https://docs.google.com/spreadsheets/d/1vl4QWbWdFruual5o_wdo6ZSqXZ_it806oja4CctTLKs/edit?usp=share_link"",""พังงา!I670"")+IMPORTRANGE(""https://docs.google.com/spreadsheets/d/1"&amp;"b6QssHQp2FoAPSMKHOy273KNzAomaIKhtdlvuZ_zDNE/edit?usp=share_link"",""พัทลุง!I670"")+IMPORTRANGE(""https://docs.google.com/spreadsheets/d/1o7UZe4_OqlqtLDHrj01Z2YFRSZDf1DMy1n3XViHaxRc/edit?usp=share_link"",""ภูเก็ต!I670"")+IMPORTRANGE(""https://docs.google.c"&amp;"om/spreadsheets/d/1ctPm1vUzcUCPuOj9-eoHUD85PqINFqUB0TjdSWmR5-c/edit?usp=share_link"",""ยะลา!I670"")+IMPORTRANGE(""https://docs.google.com/spreadsheets/d/1YiDIE7Klmt8osgdapRqYWNr7iPGFSsiJqq46S7PYRE0/edit?usp=share_link"",""ระนอง!I670"")+IMPORTRANGE(""https"&amp;"://docs.google.com/spreadsheets/d/16o_4B-V7AWw_6E93bSpXj_XxVv1oVQctk-B6z1dNEWU/edit?usp=share_link"",""สงขลา!I670"")+IMPORTRANGE(""https://docs.google.com/spreadsheets/d/16cywr71Fj4fA5OGRHsZh30ZG2gwJhMAQv69oVBzYHv0/edit?usp=share_link"",""สตูล!I670"")+IMP"&amp;"ORTRANGE(""https://docs.google.com/spreadsheets/d/1vO9Sws6kMtrVtyvrAJptINXjK8TFBoX9xLYOVK_C8bQ/edit?usp=share_link"",""สุราษฎร์ธานี!I670"")"),25)</f>
        <v>25</v>
      </c>
      <c r="J670" s="183">
        <f ca="1">IFERROR(__xludf.DUMMYFUNCTION("IMPORTRANGE(""https://docs.google.com/spreadsheets/d/1kC41EOXpGBFOW658Fs3oD8beYlym0-zO54WY-2Qnp9I/edit?usp=share_link"",""กระบี่!J670"")
+IMPORTRANGE(""https://docs.google.com/spreadsheets/d/1FbzMZY_f3MDiEuK7RpCQKrilJ_kpX0Wm7QBZ1L7EjIU/edit?usp=share_link"&amp;""",""ชุมพร!J670"")+IMPORTRANGE(""https://docs.google.com/spreadsheets/d/1v5sN-00LrXuhBxw4dkh2GrG_z4l5oAqOdJRBCsUyMaM/edit?usp=share_link"",""ตรัง!J670"")+IMPORTRANGE(""https://docs.google.com/spreadsheets/d/1T5rRTzFc79aSIvqnzkZNvwPstq829QYz_xALlO1Z0s8/edi"&amp;"t?usp=share_link"",""นครศรีธรรมราช!J670"")+IMPORTRANGE(""https://docs.google.com/spreadsheets/d/1BeghqumK0IvCmRd2QOy6_afsZq7ZtAGrSnVJy2u7WmY/edit?usp=share_link"",""นราธิวาส!J670"")+IMPORTRANGE(""https://docs.google.com/spreadsheets/d/1IwnW3-jjRf74MCLW-6P"&amp;"iFwMUffRQXZwZA7YM609NmRc/edit?usp=share_link"",""ปัตตานี!J670"")+IMPORTRANGE(""https://docs.google.com/spreadsheets/d/1vl4QWbWdFruual5o_wdo6ZSqXZ_it806oja4CctTLKs/edit?usp=share_link"",""พังงา!J670"")+IMPORTRANGE(""https://docs.google.com/spreadsheets/d/1"&amp;"b6QssHQp2FoAPSMKHOy273KNzAomaIKhtdlvuZ_zDNE/edit?usp=share_link"",""พัทลุง!J670"")+IMPORTRANGE(""https://docs.google.com/spreadsheets/d/1o7UZe4_OqlqtLDHrj01Z2YFRSZDf1DMy1n3XViHaxRc/edit?usp=share_link"",""ภูเก็ต!J670"")+IMPORTRANGE(""https://docs.google.c"&amp;"om/spreadsheets/d/1ctPm1vUzcUCPuOj9-eoHUD85PqINFqUB0TjdSWmR5-c/edit?usp=share_link"",""ยะลา!J670"")+IMPORTRANGE(""https://docs.google.com/spreadsheets/d/1YiDIE7Klmt8osgdapRqYWNr7iPGFSsiJqq46S7PYRE0/edit?usp=share_link"",""ระนอง!J670"")+IMPORTRANGE(""https"&amp;"://docs.google.com/spreadsheets/d/16o_4B-V7AWw_6E93bSpXj_XxVv1oVQctk-B6z1dNEWU/edit?usp=share_link"",""สงขลา!J670"")+IMPORTRANGE(""https://docs.google.com/spreadsheets/d/16cywr71Fj4fA5OGRHsZh30ZG2gwJhMAQv69oVBzYHv0/edit?usp=share_link"",""สตูล!J670"")+IMP"&amp;"ORTRANGE(""https://docs.google.com/spreadsheets/d/1vO9Sws6kMtrVtyvrAJptINXjK8TFBoX9xLYOVK_C8bQ/edit?usp=share_link"",""สุราษฎร์ธานี!J670"")"),25)</f>
        <v>25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20.25" customHeight="1">
      <c r="A671" s="607"/>
      <c r="B671" s="608"/>
      <c r="C671" s="608"/>
      <c r="D671" s="608"/>
      <c r="E671" s="187" t="s">
        <v>283</v>
      </c>
      <c r="F671" s="618"/>
      <c r="G671" s="175"/>
      <c r="H671" s="449" t="s">
        <v>66</v>
      </c>
      <c r="I671" s="37">
        <f ca="1">IFERROR(__xludf.DUMMYFUNCTION("IMPORTRANGE(""https://docs.google.com/spreadsheets/d/1kC41EOXpGBFOW658Fs3oD8beYlym0-zO54WY-2Qnp9I/edit?usp=share_link"",""กระบี่!I671"")
+IMPORTRANGE(""https://docs.google.com/spreadsheets/d/1FbzMZY_f3MDiEuK7RpCQKrilJ_kpX0Wm7QBZ1L7EjIU/edit?usp=share_link"&amp;""",""ชุมพร!I671"")+IMPORTRANGE(""https://docs.google.com/spreadsheets/d/1v5sN-00LrXuhBxw4dkh2GrG_z4l5oAqOdJRBCsUyMaM/edit?usp=share_link"",""ตรัง!I671"")+IMPORTRANGE(""https://docs.google.com/spreadsheets/d/1T5rRTzFc79aSIvqnzkZNvwPstq829QYz_xALlO1Z0s8/edi"&amp;"t?usp=share_link"",""นครศรีธรรมราช!I671"")+IMPORTRANGE(""https://docs.google.com/spreadsheets/d/1BeghqumK0IvCmRd2QOy6_afsZq7ZtAGrSnVJy2u7WmY/edit?usp=share_link"",""นราธิวาส!I671"")+IMPORTRANGE(""https://docs.google.com/spreadsheets/d/1IwnW3-jjRf74MCLW-6P"&amp;"iFwMUffRQXZwZA7YM609NmRc/edit?usp=share_link"",""ปัตตานี!I671"")+IMPORTRANGE(""https://docs.google.com/spreadsheets/d/1vl4QWbWdFruual5o_wdo6ZSqXZ_it806oja4CctTLKs/edit?usp=share_link"",""พังงา!I671"")+IMPORTRANGE(""https://docs.google.com/spreadsheets/d/1"&amp;"b6QssHQp2FoAPSMKHOy273KNzAomaIKhtdlvuZ_zDNE/edit?usp=share_link"",""พัทลุง!I671"")+IMPORTRANGE(""https://docs.google.com/spreadsheets/d/1o7UZe4_OqlqtLDHrj01Z2YFRSZDf1DMy1n3XViHaxRc/edit?usp=share_link"",""ภูเก็ต!I671"")+IMPORTRANGE(""https://docs.google.c"&amp;"om/spreadsheets/d/1ctPm1vUzcUCPuOj9-eoHUD85PqINFqUB0TjdSWmR5-c/edit?usp=share_link"",""ยะลา!I671"")+IMPORTRANGE(""https://docs.google.com/spreadsheets/d/1YiDIE7Klmt8osgdapRqYWNr7iPGFSsiJqq46S7PYRE0/edit?usp=share_link"",""ระนอง!I671"")+IMPORTRANGE(""https"&amp;"://docs.google.com/spreadsheets/d/16o_4B-V7AWw_6E93bSpXj_XxVv1oVQctk-B6z1dNEWU/edit?usp=share_link"",""สงขลา!I671"")+IMPORTRANGE(""https://docs.google.com/spreadsheets/d/16cywr71Fj4fA5OGRHsZh30ZG2gwJhMAQv69oVBzYHv0/edit?usp=share_link"",""สตูล!I671"")+IMP"&amp;"ORTRANGE(""https://docs.google.com/spreadsheets/d/1vO9Sws6kMtrVtyvrAJptINXjK8TFBoX9xLYOVK_C8bQ/edit?usp=share_link"",""สุราษฎร์ธานี!I671"")"),25)</f>
        <v>25</v>
      </c>
      <c r="J671" s="183">
        <f ca="1">IFERROR(__xludf.DUMMYFUNCTION("IMPORTRANGE(""https://docs.google.com/spreadsheets/d/1kC41EOXpGBFOW658Fs3oD8beYlym0-zO54WY-2Qnp9I/edit?usp=share_link"",""กระบี่!J671"")
+IMPORTRANGE(""https://docs.google.com/spreadsheets/d/1FbzMZY_f3MDiEuK7RpCQKrilJ_kpX0Wm7QBZ1L7EjIU/edit?usp=share_link"&amp;""",""ชุมพร!J671"")+IMPORTRANGE(""https://docs.google.com/spreadsheets/d/1v5sN-00LrXuhBxw4dkh2GrG_z4l5oAqOdJRBCsUyMaM/edit?usp=share_link"",""ตรัง!J671"")+IMPORTRANGE(""https://docs.google.com/spreadsheets/d/1T5rRTzFc79aSIvqnzkZNvwPstq829QYz_xALlO1Z0s8/edi"&amp;"t?usp=share_link"",""นครศรีธรรมราช!J671"")+IMPORTRANGE(""https://docs.google.com/spreadsheets/d/1BeghqumK0IvCmRd2QOy6_afsZq7ZtAGrSnVJy2u7WmY/edit?usp=share_link"",""นราธิวาส!J671"")+IMPORTRANGE(""https://docs.google.com/spreadsheets/d/1IwnW3-jjRf74MCLW-6P"&amp;"iFwMUffRQXZwZA7YM609NmRc/edit?usp=share_link"",""ปัตตานี!J671"")+IMPORTRANGE(""https://docs.google.com/spreadsheets/d/1vl4QWbWdFruual5o_wdo6ZSqXZ_it806oja4CctTLKs/edit?usp=share_link"",""พังงา!J671"")+IMPORTRANGE(""https://docs.google.com/spreadsheets/d/1"&amp;"b6QssHQp2FoAPSMKHOy273KNzAomaIKhtdlvuZ_zDNE/edit?usp=share_link"",""พัทลุง!J671"")+IMPORTRANGE(""https://docs.google.com/spreadsheets/d/1o7UZe4_OqlqtLDHrj01Z2YFRSZDf1DMy1n3XViHaxRc/edit?usp=share_link"",""ภูเก็ต!J671"")+IMPORTRANGE(""https://docs.google.c"&amp;"om/spreadsheets/d/1ctPm1vUzcUCPuOj9-eoHUD85PqINFqUB0TjdSWmR5-c/edit?usp=share_link"",""ยะลา!J671"")+IMPORTRANGE(""https://docs.google.com/spreadsheets/d/1YiDIE7Klmt8osgdapRqYWNr7iPGFSsiJqq46S7PYRE0/edit?usp=share_link"",""ระนอง!J671"")+IMPORTRANGE(""https"&amp;"://docs.google.com/spreadsheets/d/16o_4B-V7AWw_6E93bSpXj_XxVv1oVQctk-B6z1dNEWU/edit?usp=share_link"",""สงขลา!J671"")+IMPORTRANGE(""https://docs.google.com/spreadsheets/d/16cywr71Fj4fA5OGRHsZh30ZG2gwJhMAQv69oVBzYHv0/edit?usp=share_link"",""สตูล!J671"")+IMP"&amp;"ORTRANGE(""https://docs.google.com/spreadsheets/d/1vO9Sws6kMtrVtyvrAJptINXjK8TFBoX9xLYOVK_C8bQ/edit?usp=share_link"",""สุราษฎร์ธานี!J671"")"),25)</f>
        <v>25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20.25" customHeight="1">
      <c r="A672" s="607"/>
      <c r="B672" s="608"/>
      <c r="C672" s="608"/>
      <c r="D672" s="608"/>
      <c r="E672" s="187" t="s">
        <v>284</v>
      </c>
      <c r="F672" s="618"/>
      <c r="G672" s="175"/>
      <c r="H672" s="182" t="s">
        <v>46</v>
      </c>
      <c r="I672" s="37"/>
      <c r="J672" s="183">
        <f ca="1">IFERROR(__xludf.DUMMYFUNCTION("IMPORTRANGE(""https://docs.google.com/spreadsheets/d/1kC41EOXpGBFOW658Fs3oD8beYlym0-zO54WY-2Qnp9I/edit?usp=share_link"",""กระบี่!J672"")
+IMPORTRANGE(""https://docs.google.com/spreadsheets/d/1FbzMZY_f3MDiEuK7RpCQKrilJ_kpX0Wm7QBZ1L7EjIU/edit?usp=share_link"&amp;""",""ชุมพร!J672"")+IMPORTRANGE(""https://docs.google.com/spreadsheets/d/1v5sN-00LrXuhBxw4dkh2GrG_z4l5oAqOdJRBCsUyMaM/edit?usp=share_link"",""ตรัง!J672"")+IMPORTRANGE(""https://docs.google.com/spreadsheets/d/1T5rRTzFc79aSIvqnzkZNvwPstq829QYz_xALlO1Z0s8/edi"&amp;"t?usp=share_link"",""นครศรีธรรมราช!J672"")+IMPORTRANGE(""https://docs.google.com/spreadsheets/d/1BeghqumK0IvCmRd2QOy6_afsZq7ZtAGrSnVJy2u7WmY/edit?usp=share_link"",""นราธิวาส!J672"")+IMPORTRANGE(""https://docs.google.com/spreadsheets/d/1IwnW3-jjRf74MCLW-6P"&amp;"iFwMUffRQXZwZA7YM609NmRc/edit?usp=share_link"",""ปัตตานี!J672"")+IMPORTRANGE(""https://docs.google.com/spreadsheets/d/1vl4QWbWdFruual5o_wdo6ZSqXZ_it806oja4CctTLKs/edit?usp=share_link"",""พังงา!J672"")+IMPORTRANGE(""https://docs.google.com/spreadsheets/d/1"&amp;"b6QssHQp2FoAPSMKHOy273KNzAomaIKhtdlvuZ_zDNE/edit?usp=share_link"",""พัทลุง!J672"")+IMPORTRANGE(""https://docs.google.com/spreadsheets/d/1o7UZe4_OqlqtLDHrj01Z2YFRSZDf1DMy1n3XViHaxRc/edit?usp=share_link"",""ภูเก็ต!J672"")+IMPORTRANGE(""https://docs.google.c"&amp;"om/spreadsheets/d/1ctPm1vUzcUCPuOj9-eoHUD85PqINFqUB0TjdSWmR5-c/edit?usp=share_link"",""ยะลา!J672"")+IMPORTRANGE(""https://docs.google.com/spreadsheets/d/1YiDIE7Klmt8osgdapRqYWNr7iPGFSsiJqq46S7PYRE0/edit?usp=share_link"",""ระนอง!J672"")+IMPORTRANGE(""https"&amp;"://docs.google.com/spreadsheets/d/16o_4B-V7AWw_6E93bSpXj_XxVv1oVQctk-B6z1dNEWU/edit?usp=share_link"",""สงขลา!J672"")+IMPORTRANGE(""https://docs.google.com/spreadsheets/d/16cywr71Fj4fA5OGRHsZh30ZG2gwJhMAQv69oVBzYHv0/edit?usp=share_link"",""สตูล!J672"")+IMP"&amp;"ORTRANGE(""https://docs.google.com/spreadsheets/d/1vO9Sws6kMtrVtyvrAJptINXjK8TFBoX9xLYOVK_C8bQ/edit?usp=share_link"",""สุราษฎร์ธานี!J672"")"),259)</f>
        <v>259</v>
      </c>
      <c r="K672" s="38">
        <f t="shared" ref="K672:K675" ca="1" si="319">IF(I$669&gt;0,J672*100/I$669,0)</f>
        <v>103.6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20.25" customHeight="1">
      <c r="A673" s="607"/>
      <c r="B673" s="608"/>
      <c r="C673" s="608"/>
      <c r="D673" s="608"/>
      <c r="E673" s="187" t="s">
        <v>285</v>
      </c>
      <c r="F673" s="618"/>
      <c r="G673" s="175"/>
      <c r="H673" s="182" t="s">
        <v>46</v>
      </c>
      <c r="I673" s="37"/>
      <c r="J673" s="183">
        <f ca="1">IFERROR(__xludf.DUMMYFUNCTION("IMPORTRANGE(""https://docs.google.com/spreadsheets/d/1kC41EOXpGBFOW658Fs3oD8beYlym0-zO54WY-2Qnp9I/edit?usp=share_link"",""กระบี่!J673"")
+IMPORTRANGE(""https://docs.google.com/spreadsheets/d/1FbzMZY_f3MDiEuK7RpCQKrilJ_kpX0Wm7QBZ1L7EjIU/edit?usp=share_link"&amp;""",""ชุมพร!J673"")+IMPORTRANGE(""https://docs.google.com/spreadsheets/d/1v5sN-00LrXuhBxw4dkh2GrG_z4l5oAqOdJRBCsUyMaM/edit?usp=share_link"",""ตรัง!J673"")+IMPORTRANGE(""https://docs.google.com/spreadsheets/d/1T5rRTzFc79aSIvqnzkZNvwPstq829QYz_xALlO1Z0s8/edi"&amp;"t?usp=share_link"",""นครศรีธรรมราช!J673"")+IMPORTRANGE(""https://docs.google.com/spreadsheets/d/1BeghqumK0IvCmRd2QOy6_afsZq7ZtAGrSnVJy2u7WmY/edit?usp=share_link"",""นราธิวาส!J673"")+IMPORTRANGE(""https://docs.google.com/spreadsheets/d/1IwnW3-jjRf74MCLW-6P"&amp;"iFwMUffRQXZwZA7YM609NmRc/edit?usp=share_link"",""ปัตตานี!J673"")+IMPORTRANGE(""https://docs.google.com/spreadsheets/d/1vl4QWbWdFruual5o_wdo6ZSqXZ_it806oja4CctTLKs/edit?usp=share_link"",""พังงา!J673"")+IMPORTRANGE(""https://docs.google.com/spreadsheets/d/1"&amp;"b6QssHQp2FoAPSMKHOy273KNzAomaIKhtdlvuZ_zDNE/edit?usp=share_link"",""พัทลุง!J673"")+IMPORTRANGE(""https://docs.google.com/spreadsheets/d/1o7UZe4_OqlqtLDHrj01Z2YFRSZDf1DMy1n3XViHaxRc/edit?usp=share_link"",""ภูเก็ต!J673"")+IMPORTRANGE(""https://docs.google.c"&amp;"om/spreadsheets/d/1ctPm1vUzcUCPuOj9-eoHUD85PqINFqUB0TjdSWmR5-c/edit?usp=share_link"",""ยะลา!J673"")+IMPORTRANGE(""https://docs.google.com/spreadsheets/d/1YiDIE7Klmt8osgdapRqYWNr7iPGFSsiJqq46S7PYRE0/edit?usp=share_link"",""ระนอง!J673"")+IMPORTRANGE(""https"&amp;"://docs.google.com/spreadsheets/d/16o_4B-V7AWw_6E93bSpXj_XxVv1oVQctk-B6z1dNEWU/edit?usp=share_link"",""สงขลา!J673"")+IMPORTRANGE(""https://docs.google.com/spreadsheets/d/16cywr71Fj4fA5OGRHsZh30ZG2gwJhMAQv69oVBzYHv0/edit?usp=share_link"",""สตูล!J673"")+IMP"&amp;"ORTRANGE(""https://docs.google.com/spreadsheets/d/1vO9Sws6kMtrVtyvrAJptINXjK8TFBoX9xLYOVK_C8bQ/edit?usp=share_link"",""สุราษฎร์ธานี!J673"")"),57)</f>
        <v>57</v>
      </c>
      <c r="K673" s="38">
        <f t="shared" ca="1" si="319"/>
        <v>22.8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20.25" customHeight="1">
      <c r="A674" s="607"/>
      <c r="B674" s="608"/>
      <c r="C674" s="608"/>
      <c r="D674" s="608"/>
      <c r="E674" s="187" t="s">
        <v>286</v>
      </c>
      <c r="F674" s="618"/>
      <c r="G674" s="175"/>
      <c r="H674" s="182" t="s">
        <v>46</v>
      </c>
      <c r="I674" s="37"/>
      <c r="J674" s="183">
        <f ca="1">IFERROR(__xludf.DUMMYFUNCTION("IMPORTRANGE(""https://docs.google.com/spreadsheets/d/1kC41EOXpGBFOW658Fs3oD8beYlym0-zO54WY-2Qnp9I/edit?usp=share_link"",""กระบี่!J674"")
+IMPORTRANGE(""https://docs.google.com/spreadsheets/d/1FbzMZY_f3MDiEuK7RpCQKrilJ_kpX0Wm7QBZ1L7EjIU/edit?usp=share_link"&amp;""",""ชุมพร!J674"")+IMPORTRANGE(""https://docs.google.com/spreadsheets/d/1v5sN-00LrXuhBxw4dkh2GrG_z4l5oAqOdJRBCsUyMaM/edit?usp=share_link"",""ตรัง!J674"")+IMPORTRANGE(""https://docs.google.com/spreadsheets/d/1T5rRTzFc79aSIvqnzkZNvwPstq829QYz_xALlO1Z0s8/edi"&amp;"t?usp=share_link"",""นครศรีธรรมราช!J674"")+IMPORTRANGE(""https://docs.google.com/spreadsheets/d/1BeghqumK0IvCmRd2QOy6_afsZq7ZtAGrSnVJy2u7WmY/edit?usp=share_link"",""นราธิวาส!J674"")+IMPORTRANGE(""https://docs.google.com/spreadsheets/d/1IwnW3-jjRf74MCLW-6P"&amp;"iFwMUffRQXZwZA7YM609NmRc/edit?usp=share_link"",""ปัตตานี!J674"")+IMPORTRANGE(""https://docs.google.com/spreadsheets/d/1vl4QWbWdFruual5o_wdo6ZSqXZ_it806oja4CctTLKs/edit?usp=share_link"",""พังงา!J674"")+IMPORTRANGE(""https://docs.google.com/spreadsheets/d/1"&amp;"b6QssHQp2FoAPSMKHOy273KNzAomaIKhtdlvuZ_zDNE/edit?usp=share_link"",""พัทลุง!J674"")+IMPORTRANGE(""https://docs.google.com/spreadsheets/d/1o7UZe4_OqlqtLDHrj01Z2YFRSZDf1DMy1n3XViHaxRc/edit?usp=share_link"",""ภูเก็ต!J674"")+IMPORTRANGE(""https://docs.google.c"&amp;"om/spreadsheets/d/1ctPm1vUzcUCPuOj9-eoHUD85PqINFqUB0TjdSWmR5-c/edit?usp=share_link"",""ยะลา!J674"")+IMPORTRANGE(""https://docs.google.com/spreadsheets/d/1YiDIE7Klmt8osgdapRqYWNr7iPGFSsiJqq46S7PYRE0/edit?usp=share_link"",""ระนอง!J674"")+IMPORTRANGE(""https"&amp;"://docs.google.com/spreadsheets/d/16o_4B-V7AWw_6E93bSpXj_XxVv1oVQctk-B6z1dNEWU/edit?usp=share_link"",""สงขลา!J674"")+IMPORTRANGE(""https://docs.google.com/spreadsheets/d/16cywr71Fj4fA5OGRHsZh30ZG2gwJhMAQv69oVBzYHv0/edit?usp=share_link"",""สตูล!J674"")+IMP"&amp;"ORTRANGE(""https://docs.google.com/spreadsheets/d/1vO9Sws6kMtrVtyvrAJptINXjK8TFBoX9xLYOVK_C8bQ/edit?usp=share_link"",""สุราษฎร์ธานี!J674"")"),0)</f>
        <v>0</v>
      </c>
      <c r="K674" s="38">
        <f t="shared" ca="1" si="319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20.25" customHeight="1">
      <c r="A675" s="607"/>
      <c r="B675" s="608"/>
      <c r="C675" s="608"/>
      <c r="D675" s="608"/>
      <c r="E675" s="187" t="s">
        <v>287</v>
      </c>
      <c r="F675" s="618"/>
      <c r="G675" s="175"/>
      <c r="H675" s="182" t="s">
        <v>46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20.25" customHeight="1">
      <c r="A676" s="607"/>
      <c r="B676" s="608"/>
      <c r="C676" s="608"/>
      <c r="D676" s="608"/>
      <c r="E676" s="618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IFERROR(__xludf.DUMMYFUNCTION("IMPORTRANGE(""https://docs.google.com/spreadsheets/d/1kC41EOXpGBFOW658Fs3oD8beYlym0-zO54WY-2Qnp9I/edit?usp=share_link"",""กระบี่!J676"")
+IMPORTRANGE(""https://docs.google.com/spreadsheets/d/1FbzMZY_f3MDiEuK7RpCQKrilJ_kpX0Wm7QBZ1L7EjIU/edit?usp=share_link"&amp;""",""ชุมพร!J676"")+IMPORTRANGE(""https://docs.google.com/spreadsheets/d/1v5sN-00LrXuhBxw4dkh2GrG_z4l5oAqOdJRBCsUyMaM/edit?usp=share_link"",""ตรัง!J676"")+IMPORTRANGE(""https://docs.google.com/spreadsheets/d/1T5rRTzFc79aSIvqnzkZNvwPstq829QYz_xALlO1Z0s8/edi"&amp;"t?usp=share_link"",""นครศรีธรรมราช!J676"")+IMPORTRANGE(""https://docs.google.com/spreadsheets/d/1BeghqumK0IvCmRd2QOy6_afsZq7ZtAGrSnVJy2u7WmY/edit?usp=share_link"",""นราธิวาส!J676"")+IMPORTRANGE(""https://docs.google.com/spreadsheets/d/1IwnW3-jjRf74MCLW-6P"&amp;"iFwMUffRQXZwZA7YM609NmRc/edit?usp=share_link"",""ปัตตานี!J676"")+IMPORTRANGE(""https://docs.google.com/spreadsheets/d/1vl4QWbWdFruual5o_wdo6ZSqXZ_it806oja4CctTLKs/edit?usp=share_link"",""พังงา!J676"")+IMPORTRANGE(""https://docs.google.com/spreadsheets/d/1"&amp;"b6QssHQp2FoAPSMKHOy273KNzAomaIKhtdlvuZ_zDNE/edit?usp=share_link"",""พัทลุง!J676"")+IMPORTRANGE(""https://docs.google.com/spreadsheets/d/1o7UZe4_OqlqtLDHrj01Z2YFRSZDf1DMy1n3XViHaxRc/edit?usp=share_link"",""ภูเก็ต!J676"")+IMPORTRANGE(""https://docs.google.c"&amp;"om/spreadsheets/d/1ctPm1vUzcUCPuOj9-eoHUD85PqINFqUB0TjdSWmR5-c/edit?usp=share_link"",""ยะลา!J676"")+IMPORTRANGE(""https://docs.google.com/spreadsheets/d/1YiDIE7Klmt8osgdapRqYWNr7iPGFSsiJqq46S7PYRE0/edit?usp=share_link"",""ระนอง!J676"")+IMPORTRANGE(""https"&amp;"://docs.google.com/spreadsheets/d/16o_4B-V7AWw_6E93bSpXj_XxVv1oVQctk-B6z1dNEWU/edit?usp=share_link"",""สงขลา!J676"")+IMPORTRANGE(""https://docs.google.com/spreadsheets/d/16cywr71Fj4fA5OGRHsZh30ZG2gwJhMAQv69oVBzYHv0/edit?usp=share_link"",""สตูล!J676"")+IMP"&amp;"ORTRANGE(""https://docs.google.com/spreadsheets/d/1vO9Sws6kMtrVtyvrAJptINXjK8TFBoX9xLYOVK_C8bQ/edit?usp=share_link"",""สุราษฎร์ธานี!J676"")"),0)</f>
        <v>0</v>
      </c>
      <c r="K676" s="3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20.25" customHeight="1">
      <c r="A677" s="607"/>
      <c r="B677" s="608"/>
      <c r="C677" s="608"/>
      <c r="D677" s="608"/>
      <c r="E677" s="618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IFERROR(__xludf.DUMMYFUNCTION("IMPORTRANGE(""https://docs.google.com/spreadsheets/d/1kC41EOXpGBFOW658Fs3oD8beYlym0-zO54WY-2Qnp9I/edit?usp=share_link"",""กระบี่!J677"")
+IMPORTRANGE(""https://docs.google.com/spreadsheets/d/1FbzMZY_f3MDiEuK7RpCQKrilJ_kpX0Wm7QBZ1L7EjIU/edit?usp=share_link"&amp;""",""ชุมพร!J677"")+IMPORTRANGE(""https://docs.google.com/spreadsheets/d/1v5sN-00LrXuhBxw4dkh2GrG_z4l5oAqOdJRBCsUyMaM/edit?usp=share_link"",""ตรัง!J677"")+IMPORTRANGE(""https://docs.google.com/spreadsheets/d/1T5rRTzFc79aSIvqnzkZNvwPstq829QYz_xALlO1Z0s8/edi"&amp;"t?usp=share_link"",""นครศรีธรรมราช!J677"")+IMPORTRANGE(""https://docs.google.com/spreadsheets/d/1BeghqumK0IvCmRd2QOy6_afsZq7ZtAGrSnVJy2u7WmY/edit?usp=share_link"",""นราธิวาส!J677"")+IMPORTRANGE(""https://docs.google.com/spreadsheets/d/1IwnW3-jjRf74MCLW-6P"&amp;"iFwMUffRQXZwZA7YM609NmRc/edit?usp=share_link"",""ปัตตานี!J677"")+IMPORTRANGE(""https://docs.google.com/spreadsheets/d/1vl4QWbWdFruual5o_wdo6ZSqXZ_it806oja4CctTLKs/edit?usp=share_link"",""พังงา!J677"")+IMPORTRANGE(""https://docs.google.com/spreadsheets/d/1"&amp;"b6QssHQp2FoAPSMKHOy273KNzAomaIKhtdlvuZ_zDNE/edit?usp=share_link"",""พัทลุง!J677"")+IMPORTRANGE(""https://docs.google.com/spreadsheets/d/1o7UZe4_OqlqtLDHrj01Z2YFRSZDf1DMy1n3XViHaxRc/edit?usp=share_link"",""ภูเก็ต!J677"")+IMPORTRANGE(""https://docs.google.c"&amp;"om/spreadsheets/d/1ctPm1vUzcUCPuOj9-eoHUD85PqINFqUB0TjdSWmR5-c/edit?usp=share_link"",""ยะลา!J677"")+IMPORTRANGE(""https://docs.google.com/spreadsheets/d/1YiDIE7Klmt8osgdapRqYWNr7iPGFSsiJqq46S7PYRE0/edit?usp=share_link"",""ระนอง!J677"")+IMPORTRANGE(""https"&amp;"://docs.google.com/spreadsheets/d/16o_4B-V7AWw_6E93bSpXj_XxVv1oVQctk-B6z1dNEWU/edit?usp=share_link"",""สงขลา!J677"")+IMPORTRANGE(""https://docs.google.com/spreadsheets/d/16cywr71Fj4fA5OGRHsZh30ZG2gwJhMAQv69oVBzYHv0/edit?usp=share_link"",""สตูล!J677"")+IMP"&amp;"ORTRANGE(""https://docs.google.com/spreadsheets/d/1vO9Sws6kMtrVtyvrAJptINXjK8TFBoX9xLYOVK_C8bQ/edit?usp=share_link"",""สุราษฎร์ธานี!J677"")"),0)</f>
        <v>0</v>
      </c>
      <c r="K677" s="3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20.25" customHeight="1">
      <c r="A678" s="607"/>
      <c r="B678" s="608"/>
      <c r="C678" s="608"/>
      <c r="D678" s="617" t="s">
        <v>290</v>
      </c>
      <c r="E678" s="618"/>
      <c r="F678" s="618"/>
      <c r="G678" s="175"/>
      <c r="H678" s="182" t="s">
        <v>46</v>
      </c>
      <c r="I678" s="194">
        <f ca="1">IFERROR(__xludf.DUMMYFUNCTION("IMPORTRANGE(""https://docs.google.com/spreadsheets/d/1kC41EOXpGBFOW658Fs3oD8beYlym0-zO54WY-2Qnp9I/edit?usp=share_link"",""กระบี่!I678"")
+IMPORTRANGE(""https://docs.google.com/spreadsheets/d/1FbzMZY_f3MDiEuK7RpCQKrilJ_kpX0Wm7QBZ1L7EjIU/edit?usp=share_link"&amp;""",""ชุมพร!I678"")+IMPORTRANGE(""https://docs.google.com/spreadsheets/d/1v5sN-00LrXuhBxw4dkh2GrG_z4l5oAqOdJRBCsUyMaM/edit?usp=share_link"",""ตรัง!I678"")+IMPORTRANGE(""https://docs.google.com/spreadsheets/d/1T5rRTzFc79aSIvqnzkZNvwPstq829QYz_xALlO1Z0s8/edi"&amp;"t?usp=share_link"",""นครศรีธรรมราช!I678"")+IMPORTRANGE(""https://docs.google.com/spreadsheets/d/1BeghqumK0IvCmRd2QOy6_afsZq7ZtAGrSnVJy2u7WmY/edit?usp=share_link"",""นราธิวาส!I678"")+IMPORTRANGE(""https://docs.google.com/spreadsheets/d/1IwnW3-jjRf74MCLW-6P"&amp;"iFwMUffRQXZwZA7YM609NmRc/edit?usp=share_link"",""ปัตตานี!I678"")+IMPORTRANGE(""https://docs.google.com/spreadsheets/d/1vl4QWbWdFruual5o_wdo6ZSqXZ_it806oja4CctTLKs/edit?usp=share_link"",""พังงา!I678"")+IMPORTRANGE(""https://docs.google.com/spreadsheets/d/1"&amp;"b6QssHQp2FoAPSMKHOy273KNzAomaIKhtdlvuZ_zDNE/edit?usp=share_link"",""พัทลุง!I678"")+IMPORTRANGE(""https://docs.google.com/spreadsheets/d/1o7UZe4_OqlqtLDHrj01Z2YFRSZDf1DMy1n3XViHaxRc/edit?usp=share_link"",""ภูเก็ต!I678"")+IMPORTRANGE(""https://docs.google.c"&amp;"om/spreadsheets/d/1ctPm1vUzcUCPuOj9-eoHUD85PqINFqUB0TjdSWmR5-c/edit?usp=share_link"",""ยะลา!I678"")+IMPORTRANGE(""https://docs.google.com/spreadsheets/d/1YiDIE7Klmt8osgdapRqYWNr7iPGFSsiJqq46S7PYRE0/edit?usp=share_link"",""ระนอง!I678"")+IMPORTRANGE(""https"&amp;"://docs.google.com/spreadsheets/d/16o_4B-V7AWw_6E93bSpXj_XxVv1oVQctk-B6z1dNEWU/edit?usp=share_link"",""สงขลา!I678"")+IMPORTRANGE(""https://docs.google.com/spreadsheets/d/16cywr71Fj4fA5OGRHsZh30ZG2gwJhMAQv69oVBzYHv0/edit?usp=share_link"",""สตูล!I678"")+IMP"&amp;"ORTRANGE(""https://docs.google.com/spreadsheets/d/1vO9Sws6kMtrVtyvrAJptINXjK8TFBoX9xLYOVK_C8bQ/edit?usp=share_link"",""สุราษฎร์ธานี!I678"")"),0)</f>
        <v>0</v>
      </c>
      <c r="J678" s="194">
        <f ca="1">J679</f>
        <v>168.76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20.25" customHeight="1">
      <c r="A679" s="607"/>
      <c r="B679" s="608"/>
      <c r="C679" s="608"/>
      <c r="D679" s="608"/>
      <c r="E679" s="187" t="s">
        <v>291</v>
      </c>
      <c r="F679" s="618"/>
      <c r="G679" s="175"/>
      <c r="H679" s="182" t="s">
        <v>46</v>
      </c>
      <c r="I679" s="37"/>
      <c r="J679" s="37">
        <f ca="1">J680+J681</f>
        <v>168.76</v>
      </c>
      <c r="K679" s="3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20.25" customHeight="1">
      <c r="A680" s="607"/>
      <c r="B680" s="608"/>
      <c r="C680" s="608"/>
      <c r="D680" s="608"/>
      <c r="E680" s="618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IFERROR(__xludf.DUMMYFUNCTION("IMPORTRANGE(""https://docs.google.com/spreadsheets/d/1kC41EOXpGBFOW658Fs3oD8beYlym0-zO54WY-2Qnp9I/edit?usp=share_link"",""กระบี่!J680"")
+IMPORTRANGE(""https://docs.google.com/spreadsheets/d/1FbzMZY_f3MDiEuK7RpCQKrilJ_kpX0Wm7QBZ1L7EjIU/edit?usp=share_link"&amp;""",""ชุมพร!J680"")+IMPORTRANGE(""https://docs.google.com/spreadsheets/d/1v5sN-00LrXuhBxw4dkh2GrG_z4l5oAqOdJRBCsUyMaM/edit?usp=share_link"",""ตรัง!J680"")+IMPORTRANGE(""https://docs.google.com/spreadsheets/d/1T5rRTzFc79aSIvqnzkZNvwPstq829QYz_xALlO1Z0s8/edi"&amp;"t?usp=share_link"",""นครศรีธรรมราช!J680"")+IMPORTRANGE(""https://docs.google.com/spreadsheets/d/1BeghqumK0IvCmRd2QOy6_afsZq7ZtAGrSnVJy2u7WmY/edit?usp=share_link"",""นราธิวาส!J680"")+IMPORTRANGE(""https://docs.google.com/spreadsheets/d/1IwnW3-jjRf74MCLW-6P"&amp;"iFwMUffRQXZwZA7YM609NmRc/edit?usp=share_link"",""ปัตตานี!J680"")+IMPORTRANGE(""https://docs.google.com/spreadsheets/d/1vl4QWbWdFruual5o_wdo6ZSqXZ_it806oja4CctTLKs/edit?usp=share_link"",""พังงา!J680"")+IMPORTRANGE(""https://docs.google.com/spreadsheets/d/1"&amp;"b6QssHQp2FoAPSMKHOy273KNzAomaIKhtdlvuZ_zDNE/edit?usp=share_link"",""พัทลุง!J680"")+IMPORTRANGE(""https://docs.google.com/spreadsheets/d/1o7UZe4_OqlqtLDHrj01Z2YFRSZDf1DMy1n3XViHaxRc/edit?usp=share_link"",""ภูเก็ต!J680"")+IMPORTRANGE(""https://docs.google.c"&amp;"om/spreadsheets/d/1ctPm1vUzcUCPuOj9-eoHUD85PqINFqUB0TjdSWmR5-c/edit?usp=share_link"",""ยะลา!J680"")+IMPORTRANGE(""https://docs.google.com/spreadsheets/d/1YiDIE7Klmt8osgdapRqYWNr7iPGFSsiJqq46S7PYRE0/edit?usp=share_link"",""ระนอง!J680"")+IMPORTRANGE(""https"&amp;"://docs.google.com/spreadsheets/d/16o_4B-V7AWw_6E93bSpXj_XxVv1oVQctk-B6z1dNEWU/edit?usp=share_link"",""สงขลา!J680"")+IMPORTRANGE(""https://docs.google.com/spreadsheets/d/16cywr71Fj4fA5OGRHsZh30ZG2gwJhMAQv69oVBzYHv0/edit?usp=share_link"",""สตูล!J680"")+IMP"&amp;"ORTRANGE(""https://docs.google.com/spreadsheets/d/1vO9Sws6kMtrVtyvrAJptINXjK8TFBoX9xLYOVK_C8bQ/edit?usp=share_link"",""สุราษฎร์ธานี!J680"")"),31.56)</f>
        <v>31.56</v>
      </c>
      <c r="K680" s="3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20.25" customHeight="1">
      <c r="A681" s="607"/>
      <c r="B681" s="608"/>
      <c r="C681" s="608"/>
      <c r="D681" s="608"/>
      <c r="E681" s="618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IFERROR(__xludf.DUMMYFUNCTION("IMPORTRANGE(""https://docs.google.com/spreadsheets/d/1kC41EOXpGBFOW658Fs3oD8beYlym0-zO54WY-2Qnp9I/edit?usp=share_link"",""กระบี่!J681"")
+IMPORTRANGE(""https://docs.google.com/spreadsheets/d/1FbzMZY_f3MDiEuK7RpCQKrilJ_kpX0Wm7QBZ1L7EjIU/edit?usp=share_link"&amp;""",""ชุมพร!J681"")+IMPORTRANGE(""https://docs.google.com/spreadsheets/d/1v5sN-00LrXuhBxw4dkh2GrG_z4l5oAqOdJRBCsUyMaM/edit?usp=share_link"",""ตรัง!J681"")+IMPORTRANGE(""https://docs.google.com/spreadsheets/d/1T5rRTzFc79aSIvqnzkZNvwPstq829QYz_xALlO1Z0s8/edi"&amp;"t?usp=share_link"",""นครศรีธรรมราช!J681"")+IMPORTRANGE(""https://docs.google.com/spreadsheets/d/1BeghqumK0IvCmRd2QOy6_afsZq7ZtAGrSnVJy2u7WmY/edit?usp=share_link"",""นราธิวาส!J681"")+IMPORTRANGE(""https://docs.google.com/spreadsheets/d/1IwnW3-jjRf74MCLW-6P"&amp;"iFwMUffRQXZwZA7YM609NmRc/edit?usp=share_link"",""ปัตตานี!J681"")+IMPORTRANGE(""https://docs.google.com/spreadsheets/d/1vl4QWbWdFruual5o_wdo6ZSqXZ_it806oja4CctTLKs/edit?usp=share_link"",""พังงา!J681"")+IMPORTRANGE(""https://docs.google.com/spreadsheets/d/1"&amp;"b6QssHQp2FoAPSMKHOy273KNzAomaIKhtdlvuZ_zDNE/edit?usp=share_link"",""พัทลุง!J681"")+IMPORTRANGE(""https://docs.google.com/spreadsheets/d/1o7UZe4_OqlqtLDHrj01Z2YFRSZDf1DMy1n3XViHaxRc/edit?usp=share_link"",""ภูเก็ต!J681"")+IMPORTRANGE(""https://docs.google.c"&amp;"om/spreadsheets/d/1ctPm1vUzcUCPuOj9-eoHUD85PqINFqUB0TjdSWmR5-c/edit?usp=share_link"",""ยะลา!J681"")+IMPORTRANGE(""https://docs.google.com/spreadsheets/d/1YiDIE7Klmt8osgdapRqYWNr7iPGFSsiJqq46S7PYRE0/edit?usp=share_link"",""ระนอง!J681"")+IMPORTRANGE(""https"&amp;"://docs.google.com/spreadsheets/d/16o_4B-V7AWw_6E93bSpXj_XxVv1oVQctk-B6z1dNEWU/edit?usp=share_link"",""สงขลา!J681"")+IMPORTRANGE(""https://docs.google.com/spreadsheets/d/16cywr71Fj4fA5OGRHsZh30ZG2gwJhMAQv69oVBzYHv0/edit?usp=share_link"",""สตูล!J681"")+IMP"&amp;"ORTRANGE(""https://docs.google.com/spreadsheets/d/1vO9Sws6kMtrVtyvrAJptINXjK8TFBoX9xLYOVK_C8bQ/edit?usp=share_link"",""สุราษฎร์ธานี!J681"")"),137.2)</f>
        <v>137.19999999999999</v>
      </c>
      <c r="K681" s="3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20.25" customHeight="1">
      <c r="A682" s="607"/>
      <c r="B682" s="608"/>
      <c r="C682" s="608"/>
      <c r="D682" s="608"/>
      <c r="E682" s="187" t="s">
        <v>292</v>
      </c>
      <c r="F682" s="618"/>
      <c r="G682" s="175"/>
      <c r="H682" s="182" t="s">
        <v>46</v>
      </c>
      <c r="I682" s="37"/>
      <c r="J682" s="183">
        <f ca="1">IFERROR(__xludf.DUMMYFUNCTION("IMPORTRANGE(""https://docs.google.com/spreadsheets/d/1kC41EOXpGBFOW658Fs3oD8beYlym0-zO54WY-2Qnp9I/edit?usp=share_link"",""กระบี่!J682"")
+IMPORTRANGE(""https://docs.google.com/spreadsheets/d/1FbzMZY_f3MDiEuK7RpCQKrilJ_kpX0Wm7QBZ1L7EjIU/edit?usp=share_link"&amp;""",""ชุมพร!J682"")+IMPORTRANGE(""https://docs.google.com/spreadsheets/d/1v5sN-00LrXuhBxw4dkh2GrG_z4l5oAqOdJRBCsUyMaM/edit?usp=share_link"",""ตรัง!J682"")+IMPORTRANGE(""https://docs.google.com/spreadsheets/d/1T5rRTzFc79aSIvqnzkZNvwPstq829QYz_xALlO1Z0s8/edi"&amp;"t?usp=share_link"",""นครศรีธรรมราช!J682"")+IMPORTRANGE(""https://docs.google.com/spreadsheets/d/1BeghqumK0IvCmRd2QOy6_afsZq7ZtAGrSnVJy2u7WmY/edit?usp=share_link"",""นราธิวาส!J682"")+IMPORTRANGE(""https://docs.google.com/spreadsheets/d/1IwnW3-jjRf74MCLW-6P"&amp;"iFwMUffRQXZwZA7YM609NmRc/edit?usp=share_link"",""ปัตตานี!J682"")+IMPORTRANGE(""https://docs.google.com/spreadsheets/d/1vl4QWbWdFruual5o_wdo6ZSqXZ_it806oja4CctTLKs/edit?usp=share_link"",""พังงา!J682"")+IMPORTRANGE(""https://docs.google.com/spreadsheets/d/1"&amp;"b6QssHQp2FoAPSMKHOy273KNzAomaIKhtdlvuZ_zDNE/edit?usp=share_link"",""พัทลุง!J682"")+IMPORTRANGE(""https://docs.google.com/spreadsheets/d/1o7UZe4_OqlqtLDHrj01Z2YFRSZDf1DMy1n3XViHaxRc/edit?usp=share_link"",""ภูเก็ต!J682"")+IMPORTRANGE(""https://docs.google.c"&amp;"om/spreadsheets/d/1ctPm1vUzcUCPuOj9-eoHUD85PqINFqUB0TjdSWmR5-c/edit?usp=share_link"",""ยะลา!J682"")+IMPORTRANGE(""https://docs.google.com/spreadsheets/d/1YiDIE7Klmt8osgdapRqYWNr7iPGFSsiJqq46S7PYRE0/edit?usp=share_link"",""ระนอง!J682"")+IMPORTRANGE(""https"&amp;"://docs.google.com/spreadsheets/d/16o_4B-V7AWw_6E93bSpXj_XxVv1oVQctk-B6z1dNEWU/edit?usp=share_link"",""สงขลา!J682"")+IMPORTRANGE(""https://docs.google.com/spreadsheets/d/16cywr71Fj4fA5OGRHsZh30ZG2gwJhMAQv69oVBzYHv0/edit?usp=share_link"",""สตูล!J682"")+IMP"&amp;"ORTRANGE(""https://docs.google.com/spreadsheets/d/1vO9Sws6kMtrVtyvrAJptINXjK8TFBoX9xLYOVK_C8bQ/edit?usp=share_link"",""สุราษฎร์ธานี!J682"")"),0)</f>
        <v>0</v>
      </c>
      <c r="K682" s="3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20.25" customHeight="1">
      <c r="A683" s="607"/>
      <c r="B683" s="608"/>
      <c r="C683" s="608"/>
      <c r="D683" s="608"/>
      <c r="E683" s="618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IFERROR(__xludf.DUMMYFUNCTION("IMPORTRANGE(""https://docs.google.com/spreadsheets/d/1kC41EOXpGBFOW658Fs3oD8beYlym0-zO54WY-2Qnp9I/edit?usp=share_link"",""กระบี่!J683"")
+IMPORTRANGE(""https://docs.google.com/spreadsheets/d/1FbzMZY_f3MDiEuK7RpCQKrilJ_kpX0Wm7QBZ1L7EjIU/edit?usp=share_link"&amp;""",""ชุมพร!J683"")+IMPORTRANGE(""https://docs.google.com/spreadsheets/d/1v5sN-00LrXuhBxw4dkh2GrG_z4l5oAqOdJRBCsUyMaM/edit?usp=share_link"",""ตรัง!J683"")+IMPORTRANGE(""https://docs.google.com/spreadsheets/d/1T5rRTzFc79aSIvqnzkZNvwPstq829QYz_xALlO1Z0s8/edi"&amp;"t?usp=share_link"",""นครศรีธรรมราช!J683"")+IMPORTRANGE(""https://docs.google.com/spreadsheets/d/1BeghqumK0IvCmRd2QOy6_afsZq7ZtAGrSnVJy2u7WmY/edit?usp=share_link"",""นราธิวาส!J683"")+IMPORTRANGE(""https://docs.google.com/spreadsheets/d/1IwnW3-jjRf74MCLW-6P"&amp;"iFwMUffRQXZwZA7YM609NmRc/edit?usp=share_link"",""ปัตตานี!J683"")+IMPORTRANGE(""https://docs.google.com/spreadsheets/d/1vl4QWbWdFruual5o_wdo6ZSqXZ_it806oja4CctTLKs/edit?usp=share_link"",""พังงา!J683"")+IMPORTRANGE(""https://docs.google.com/spreadsheets/d/1"&amp;"b6QssHQp2FoAPSMKHOy273KNzAomaIKhtdlvuZ_zDNE/edit?usp=share_link"",""พัทลุง!J683"")+IMPORTRANGE(""https://docs.google.com/spreadsheets/d/1o7UZe4_OqlqtLDHrj01Z2YFRSZDf1DMy1n3XViHaxRc/edit?usp=share_link"",""ภูเก็ต!J683"")+IMPORTRANGE(""https://docs.google.c"&amp;"om/spreadsheets/d/1ctPm1vUzcUCPuOj9-eoHUD85PqINFqUB0TjdSWmR5-c/edit?usp=share_link"",""ยะลา!J683"")+IMPORTRANGE(""https://docs.google.com/spreadsheets/d/1YiDIE7Klmt8osgdapRqYWNr7iPGFSsiJqq46S7PYRE0/edit?usp=share_link"",""ระนอง!J683"")+IMPORTRANGE(""https"&amp;"://docs.google.com/spreadsheets/d/16o_4B-V7AWw_6E93bSpXj_XxVv1oVQctk-B6z1dNEWU/edit?usp=share_link"",""สงขลา!J683"")+IMPORTRANGE(""https://docs.google.com/spreadsheets/d/16cywr71Fj4fA5OGRHsZh30ZG2gwJhMAQv69oVBzYHv0/edit?usp=share_link"",""สตูล!J683"")+IMP"&amp;"ORTRANGE(""https://docs.google.com/spreadsheets/d/1vO9Sws6kMtrVtyvrAJptINXjK8TFBoX9xLYOVK_C8bQ/edit?usp=share_link"",""สุราษฎร์ธานี!J683"")"),0)</f>
        <v>0</v>
      </c>
      <c r="K683" s="3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20.25" customHeight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20.25" customHeight="1">
      <c r="A685" s="596"/>
      <c r="B685" s="575"/>
      <c r="C685" s="575" t="s">
        <v>16</v>
      </c>
      <c r="D685" s="848" t="s">
        <v>17</v>
      </c>
      <c r="E685" s="842"/>
      <c r="F685" s="842"/>
      <c r="G685" s="189"/>
      <c r="H685" s="597" t="s">
        <v>12</v>
      </c>
      <c r="I685" s="37"/>
      <c r="J685" s="37"/>
      <c r="K685" s="38"/>
      <c r="L685" s="195">
        <f t="shared" ref="L685:N685" ca="1" si="320">L686+L687</f>
        <v>63040</v>
      </c>
      <c r="M685" s="195">
        <f t="shared" ca="1" si="320"/>
        <v>63040</v>
      </c>
      <c r="N685" s="195">
        <f t="shared" ca="1" si="320"/>
        <v>11400</v>
      </c>
      <c r="O685" s="195">
        <f t="shared" ref="O685:O688" ca="1" si="321">IF(L685&gt;0,N685*100/L685,0)</f>
        <v>18.083756345177665</v>
      </c>
      <c r="P685" s="195">
        <f t="shared" ref="P685:P688" ca="1" si="322">IF(M685&gt;0,N685*100/M685,0)</f>
        <v>18.083756345177665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20.25" hidden="1" customHeight="1">
      <c r="A686" s="598"/>
      <c r="B686" s="599"/>
      <c r="C686" s="599"/>
      <c r="D686" s="600"/>
      <c r="E686" s="601" t="s">
        <v>185</v>
      </c>
      <c r="F686" s="599"/>
      <c r="G686" s="602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20.25" hidden="1" customHeight="1">
      <c r="A687" s="598"/>
      <c r="B687" s="604"/>
      <c r="C687" s="599"/>
      <c r="D687" s="600"/>
      <c r="E687" s="601" t="s">
        <v>186</v>
      </c>
      <c r="F687" s="599"/>
      <c r="G687" s="602"/>
      <c r="H687" s="165" t="s">
        <v>12</v>
      </c>
      <c r="I687" s="44"/>
      <c r="J687" s="44"/>
      <c r="K687" s="45"/>
      <c r="L687" s="45">
        <f t="shared" ref="L687:N687" ca="1" si="324">L690+L697</f>
        <v>63040</v>
      </c>
      <c r="M687" s="45">
        <f t="shared" ca="1" si="324"/>
        <v>63040</v>
      </c>
      <c r="N687" s="45">
        <f t="shared" ca="1" si="324"/>
        <v>11400</v>
      </c>
      <c r="O687" s="45">
        <f t="shared" ca="1" si="321"/>
        <v>18.083756345177665</v>
      </c>
      <c r="P687" s="45">
        <f t="shared" ca="1" si="322"/>
        <v>18.083756345177665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20.25" customHeight="1">
      <c r="A688" s="596"/>
      <c r="B688" s="574"/>
      <c r="C688" s="575"/>
      <c r="D688" s="605" t="s">
        <v>20</v>
      </c>
      <c r="E688" s="575"/>
      <c r="F688" s="575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63040</v>
      </c>
      <c r="M688" s="38">
        <f t="shared" ca="1" si="325"/>
        <v>63040</v>
      </c>
      <c r="N688" s="38">
        <f t="shared" ca="1" si="325"/>
        <v>11400</v>
      </c>
      <c r="O688" s="38">
        <f t="shared" ca="1" si="321"/>
        <v>18.083756345177665</v>
      </c>
      <c r="P688" s="38">
        <f t="shared" ca="1" si="322"/>
        <v>18.083756345177665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20.25" hidden="1" customHeight="1">
      <c r="A689" s="598"/>
      <c r="B689" s="604"/>
      <c r="C689" s="599"/>
      <c r="D689" s="600"/>
      <c r="E689" s="601" t="s">
        <v>185</v>
      </c>
      <c r="F689" s="599"/>
      <c r="G689" s="602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20.25" hidden="1" customHeight="1">
      <c r="A690" s="598"/>
      <c r="B690" s="604"/>
      <c r="C690" s="599"/>
      <c r="D690" s="600"/>
      <c r="E690" s="601" t="s">
        <v>186</v>
      </c>
      <c r="F690" s="599"/>
      <c r="G690" s="602"/>
      <c r="H690" s="165" t="s">
        <v>12</v>
      </c>
      <c r="I690" s="44"/>
      <c r="J690" s="44"/>
      <c r="K690" s="45"/>
      <c r="L690" s="45">
        <f ca="1">IFERROR(__xludf.DUMMYFUNCTION("IMPORTRANGE(""https://docs.google.com/spreadsheets/d/1kC41EOXpGBFOW658Fs3oD8beYlym0-zO54WY-2Qnp9I/edit?usp=share_link"",""กระบี่!L690"")
+IMPORTRANGE(""https://docs.google.com/spreadsheets/d/1FbzMZY_f3MDiEuK7RpCQKrilJ_kpX0Wm7QBZ1L7EjIU/edit?usp=share_link"&amp;""",""ชุมพร!L690"")+IMPORTRANGE(""https://docs.google.com/spreadsheets/d/1v5sN-00LrXuhBxw4dkh2GrG_z4l5oAqOdJRBCsUyMaM/edit?usp=share_link"",""ตรัง!L690"")+IMPORTRANGE(""https://docs.google.com/spreadsheets/d/1T5rRTzFc79aSIvqnzkZNvwPstq829QYz_xALlO1Z0s8/edi"&amp;"t?usp=share_link"",""นครศรีธรรมราช!L690"")+IMPORTRANGE(""https://docs.google.com/spreadsheets/d/1BeghqumK0IvCmRd2QOy6_afsZq7ZtAGrSnVJy2u7WmY/edit?usp=share_link"",""นราธิวาส!L690"")+IMPORTRANGE(""https://docs.google.com/spreadsheets/d/1IwnW3-jjRf74MCLW-6P"&amp;"iFwMUffRQXZwZA7YM609NmRc/edit?usp=share_link"",""ปัตตานี!L690"")+IMPORTRANGE(""https://docs.google.com/spreadsheets/d/1vl4QWbWdFruual5o_wdo6ZSqXZ_it806oja4CctTLKs/edit?usp=share_link"",""พังงา!L690"")+IMPORTRANGE(""https://docs.google.com/spreadsheets/d/1"&amp;"b6QssHQp2FoAPSMKHOy273KNzAomaIKhtdlvuZ_zDNE/edit?usp=share_link"",""พัทลุง!L690"")+IMPORTRANGE(""https://docs.google.com/spreadsheets/d/1o7UZe4_OqlqtLDHrj01Z2YFRSZDf1DMy1n3XViHaxRc/edit?usp=share_link"",""ภูเก็ต!L690"")+IMPORTRANGE(""https://docs.google.c"&amp;"om/spreadsheets/d/1ctPm1vUzcUCPuOj9-eoHUD85PqINFqUB0TjdSWmR5-c/edit?usp=share_link"",""ยะลา!L690"")+IMPORTRANGE(""https://docs.google.com/spreadsheets/d/1YiDIE7Klmt8osgdapRqYWNr7iPGFSsiJqq46S7PYRE0/edit?usp=share_link"",""ระนอง!L690"")+IMPORTRANGE(""https"&amp;"://docs.google.com/spreadsheets/d/16o_4B-V7AWw_6E93bSpXj_XxVv1oVQctk-B6z1dNEWU/edit?usp=share_link"",""สงขลา!L690"")+IMPORTRANGE(""https://docs.google.com/spreadsheets/d/16cywr71Fj4fA5OGRHsZh30ZG2gwJhMAQv69oVBzYHv0/edit?usp=share_link"",""สตูล!L690"")+IMP"&amp;"ORTRANGE(""https://docs.google.com/spreadsheets/d/1vO9Sws6kMtrVtyvrAJptINXjK8TFBoX9xLYOVK_C8bQ/edit?usp=share_link"",""สุราษฎร์ธานี!L690"")"),63040)</f>
        <v>63040</v>
      </c>
      <c r="M690" s="93">
        <f ca="1">IFERROR(__xludf.DUMMYFUNCTION("IMPORTRANGE(""https://docs.google.com/spreadsheets/d/1kC41EOXpGBFOW658Fs3oD8beYlym0-zO54WY-2Qnp9I/edit?usp=share_link"",""กระบี่!M690"")
+IMPORTRANGE(""https://docs.google.com/spreadsheets/d/1FbzMZY_f3MDiEuK7RpCQKrilJ_kpX0Wm7QBZ1L7EjIU/edit?usp=share_link"&amp;""",""ชุมพร!M690"")+IMPORTRANGE(""https://docs.google.com/spreadsheets/d/1v5sN-00LrXuhBxw4dkh2GrG_z4l5oAqOdJRBCsUyMaM/edit?usp=share_link"",""ตรัง!M690"")+IMPORTRANGE(""https://docs.google.com/spreadsheets/d/1T5rRTzFc79aSIvqnzkZNvwPstq829QYz_xALlO1Z0s8/edi"&amp;"t?usp=share_link"",""นครศรีธรรมราช!M690"")+IMPORTRANGE(""https://docs.google.com/spreadsheets/d/1BeghqumK0IvCmRd2QOy6_afsZq7ZtAGrSnVJy2u7WmY/edit?usp=share_link"",""นราธิวาส!M690"")+IMPORTRANGE(""https://docs.google.com/spreadsheets/d/1IwnW3-jjRf74MCLW-6P"&amp;"iFwMUffRQXZwZA7YM609NmRc/edit?usp=share_link"",""ปัตตานี!M690"")+IMPORTRANGE(""https://docs.google.com/spreadsheets/d/1vl4QWbWdFruual5o_wdo6ZSqXZ_it806oja4CctTLKs/edit?usp=share_link"",""พังงา!M690"")+IMPORTRANGE(""https://docs.google.com/spreadsheets/d/1"&amp;"b6QssHQp2FoAPSMKHOy273KNzAomaIKhtdlvuZ_zDNE/edit?usp=share_link"",""พัทลุง!M690"")+IMPORTRANGE(""https://docs.google.com/spreadsheets/d/1o7UZe4_OqlqtLDHrj01Z2YFRSZDf1DMy1n3XViHaxRc/edit?usp=share_link"",""ภูเก็ต!M690"")+IMPORTRANGE(""https://docs.google.c"&amp;"om/spreadsheets/d/1ctPm1vUzcUCPuOj9-eoHUD85PqINFqUB0TjdSWmR5-c/edit?usp=share_link"",""ยะลา!M690"")+IMPORTRANGE(""https://docs.google.com/spreadsheets/d/1YiDIE7Klmt8osgdapRqYWNr7iPGFSsiJqq46S7PYRE0/edit?usp=share_link"",""ระนอง!M690"")+IMPORTRANGE(""https"&amp;"://docs.google.com/spreadsheets/d/16o_4B-V7AWw_6E93bSpXj_XxVv1oVQctk-B6z1dNEWU/edit?usp=share_link"",""สงขลา!M690"")+IMPORTRANGE(""https://docs.google.com/spreadsheets/d/16cywr71Fj4fA5OGRHsZh30ZG2gwJhMAQv69oVBzYHv0/edit?usp=share_link"",""สตูล!M690"")+IMP"&amp;"ORTRANGE(""https://docs.google.com/spreadsheets/d/1vO9Sws6kMtrVtyvrAJptINXjK8TFBoX9xLYOVK_C8bQ/edit?usp=share_link"",""สุราษฎร์ธานี!M690"")"),63040)</f>
        <v>63040</v>
      </c>
      <c r="N690" s="45">
        <f ca="1">N691+N692+N693+N694</f>
        <v>11400</v>
      </c>
      <c r="O690" s="45">
        <f ca="1">IF(L690&gt;0,N690*100/L690,0)</f>
        <v>18.083756345177665</v>
      </c>
      <c r="P690" s="45">
        <f ca="1">IF(M690&gt;0,N690*100/M690,0)</f>
        <v>18.083756345177665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20.25" customHeight="1">
      <c r="A691" s="573"/>
      <c r="B691" s="574"/>
      <c r="C691" s="575"/>
      <c r="D691" s="575"/>
      <c r="E691" s="575"/>
      <c r="F691" s="576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IFERROR(__xludf.DUMMYFUNCTION("IMPORTRANGE(""https://docs.google.com/spreadsheets/d/1kC41EOXpGBFOW658Fs3oD8beYlym0-zO54WY-2Qnp9I/edit?usp=share_link"",""กระบี่!N691"")
+IMPORTRANGE(""https://docs.google.com/spreadsheets/d/1FbzMZY_f3MDiEuK7RpCQKrilJ_kpX0Wm7QBZ1L7EjIU/edit?usp=share_link"&amp;""",""ชุมพร!N691"")+IMPORTRANGE(""https://docs.google.com/spreadsheets/d/1v5sN-00LrXuhBxw4dkh2GrG_z4l5oAqOdJRBCsUyMaM/edit?usp=share_link"",""ตรัง!N691"")+IMPORTRANGE(""https://docs.google.com/spreadsheets/d/1T5rRTzFc79aSIvqnzkZNvwPstq829QYz_xALlO1Z0s8/edi"&amp;"t?usp=share_link"",""นครศรีธรรมราช!N691"")+IMPORTRANGE(""https://docs.google.com/spreadsheets/d/1BeghqumK0IvCmRd2QOy6_afsZq7ZtAGrSnVJy2u7WmY/edit?usp=share_link"",""นราธิวาส!N691"")+IMPORTRANGE(""https://docs.google.com/spreadsheets/d/1IwnW3-jjRf74MCLW-6P"&amp;"iFwMUffRQXZwZA7YM609NmRc/edit?usp=share_link"",""ปัตตานี!N691"")+IMPORTRANGE(""https://docs.google.com/spreadsheets/d/1vl4QWbWdFruual5o_wdo6ZSqXZ_it806oja4CctTLKs/edit?usp=share_link"",""พังงา!N691"")+IMPORTRANGE(""https://docs.google.com/spreadsheets/d/1"&amp;"b6QssHQp2FoAPSMKHOy273KNzAomaIKhtdlvuZ_zDNE/edit?usp=share_link"",""พัทลุง!N691"")+IMPORTRANGE(""https://docs.google.com/spreadsheets/d/1o7UZe4_OqlqtLDHrj01Z2YFRSZDf1DMy1n3XViHaxRc/edit?usp=share_link"",""ภูเก็ต!N691"")+IMPORTRANGE(""https://docs.google.c"&amp;"om/spreadsheets/d/1ctPm1vUzcUCPuOj9-eoHUD85PqINFqUB0TjdSWmR5-c/edit?usp=share_link"",""ยะลา!N691"")+IMPORTRANGE(""https://docs.google.com/spreadsheets/d/1YiDIE7Klmt8osgdapRqYWNr7iPGFSsiJqq46S7PYRE0/edit?usp=share_link"",""ระนอง!N691"")+IMPORTRANGE(""https"&amp;"://docs.google.com/spreadsheets/d/16o_4B-V7AWw_6E93bSpXj_XxVv1oVQctk-B6z1dNEWU/edit?usp=share_link"",""สงขลา!N691"")+IMPORTRANGE(""https://docs.google.com/spreadsheets/d/16cywr71Fj4fA5OGRHsZh30ZG2gwJhMAQv69oVBzYHv0/edit?usp=share_link"",""สตูล!N691"")+IMP"&amp;"ORTRANGE(""https://docs.google.com/spreadsheets/d/1vO9Sws6kMtrVtyvrAJptINXjK8TFBoX9xLYOVK_C8bQ/edit?usp=share_link"",""สุราษฎร์ธานี!N691"")"),0)</f>
        <v>0</v>
      </c>
      <c r="O691" s="38"/>
      <c r="P691" s="3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20.25" customHeight="1">
      <c r="A692" s="573"/>
      <c r="B692" s="574"/>
      <c r="C692" s="575"/>
      <c r="D692" s="575"/>
      <c r="E692" s="575"/>
      <c r="F692" s="576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IFERROR(__xludf.DUMMYFUNCTION("IMPORTRANGE(""https://docs.google.com/spreadsheets/d/1kC41EOXpGBFOW658Fs3oD8beYlym0-zO54WY-2Qnp9I/edit?usp=share_link"",""กระบี่!N692"")
+IMPORTRANGE(""https://docs.google.com/spreadsheets/d/1FbzMZY_f3MDiEuK7RpCQKrilJ_kpX0Wm7QBZ1L7EjIU/edit?usp=share_link"&amp;""",""ชุมพร!N692"")+IMPORTRANGE(""https://docs.google.com/spreadsheets/d/1v5sN-00LrXuhBxw4dkh2GrG_z4l5oAqOdJRBCsUyMaM/edit?usp=share_link"",""ตรัง!N692"")+IMPORTRANGE(""https://docs.google.com/spreadsheets/d/1T5rRTzFc79aSIvqnzkZNvwPstq829QYz_xALlO1Z0s8/edi"&amp;"t?usp=share_link"",""นครศรีธรรมราช!N692"")+IMPORTRANGE(""https://docs.google.com/spreadsheets/d/1BeghqumK0IvCmRd2QOy6_afsZq7ZtAGrSnVJy2u7WmY/edit?usp=share_link"",""นราธิวาส!N692"")+IMPORTRANGE(""https://docs.google.com/spreadsheets/d/1IwnW3-jjRf74MCLW-6P"&amp;"iFwMUffRQXZwZA7YM609NmRc/edit?usp=share_link"",""ปัตตานี!N692"")+IMPORTRANGE(""https://docs.google.com/spreadsheets/d/1vl4QWbWdFruual5o_wdo6ZSqXZ_it806oja4CctTLKs/edit?usp=share_link"",""พังงา!N692"")+IMPORTRANGE(""https://docs.google.com/spreadsheets/d/1"&amp;"b6QssHQp2FoAPSMKHOy273KNzAomaIKhtdlvuZ_zDNE/edit?usp=share_link"",""พัทลุง!N692"")+IMPORTRANGE(""https://docs.google.com/spreadsheets/d/1o7UZe4_OqlqtLDHrj01Z2YFRSZDf1DMy1n3XViHaxRc/edit?usp=share_link"",""ภูเก็ต!N692"")+IMPORTRANGE(""https://docs.google.c"&amp;"om/spreadsheets/d/1ctPm1vUzcUCPuOj9-eoHUD85PqINFqUB0TjdSWmR5-c/edit?usp=share_link"",""ยะลา!N692"")+IMPORTRANGE(""https://docs.google.com/spreadsheets/d/1YiDIE7Klmt8osgdapRqYWNr7iPGFSsiJqq46S7PYRE0/edit?usp=share_link"",""ระนอง!N692"")+IMPORTRANGE(""https"&amp;"://docs.google.com/spreadsheets/d/16o_4B-V7AWw_6E93bSpXj_XxVv1oVQctk-B6z1dNEWU/edit?usp=share_link"",""สงขลา!N692"")+IMPORTRANGE(""https://docs.google.com/spreadsheets/d/16cywr71Fj4fA5OGRHsZh30ZG2gwJhMAQv69oVBzYHv0/edit?usp=share_link"",""สตูล!N692"")+IMP"&amp;"ORTRANGE(""https://docs.google.com/spreadsheets/d/1vO9Sws6kMtrVtyvrAJptINXjK8TFBoX9xLYOVK_C8bQ/edit?usp=share_link"",""สุราษฎร์ธานี!N692"")"),0)</f>
        <v>0</v>
      </c>
      <c r="O692" s="38"/>
      <c r="P692" s="3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20.25" customHeight="1">
      <c r="A693" s="573"/>
      <c r="B693" s="574"/>
      <c r="C693" s="575"/>
      <c r="D693" s="575"/>
      <c r="E693" s="575"/>
      <c r="F693" s="576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IFERROR(__xludf.DUMMYFUNCTION("IMPORTRANGE(""https://docs.google.com/spreadsheets/d/1kC41EOXpGBFOW658Fs3oD8beYlym0-zO54WY-2Qnp9I/edit?usp=share_link"",""กระบี่!N693"")
+IMPORTRANGE(""https://docs.google.com/spreadsheets/d/1FbzMZY_f3MDiEuK7RpCQKrilJ_kpX0Wm7QBZ1L7EjIU/edit?usp=share_link"&amp;""",""ชุมพร!N693"")+IMPORTRANGE(""https://docs.google.com/spreadsheets/d/1v5sN-00LrXuhBxw4dkh2GrG_z4l5oAqOdJRBCsUyMaM/edit?usp=share_link"",""ตรัง!N693"")+IMPORTRANGE(""https://docs.google.com/spreadsheets/d/1T5rRTzFc79aSIvqnzkZNvwPstq829QYz_xALlO1Z0s8/edi"&amp;"t?usp=share_link"",""นครศรีธรรมราช!N693"")+IMPORTRANGE(""https://docs.google.com/spreadsheets/d/1BeghqumK0IvCmRd2QOy6_afsZq7ZtAGrSnVJy2u7WmY/edit?usp=share_link"",""นราธิวาส!N693"")+IMPORTRANGE(""https://docs.google.com/spreadsheets/d/1IwnW3-jjRf74MCLW-6P"&amp;"iFwMUffRQXZwZA7YM609NmRc/edit?usp=share_link"",""ปัตตานี!N693"")+IMPORTRANGE(""https://docs.google.com/spreadsheets/d/1vl4QWbWdFruual5o_wdo6ZSqXZ_it806oja4CctTLKs/edit?usp=share_link"",""พังงา!N693"")+IMPORTRANGE(""https://docs.google.com/spreadsheets/d/1"&amp;"b6QssHQp2FoAPSMKHOy273KNzAomaIKhtdlvuZ_zDNE/edit?usp=share_link"",""พัทลุง!N693"")+IMPORTRANGE(""https://docs.google.com/spreadsheets/d/1o7UZe4_OqlqtLDHrj01Z2YFRSZDf1DMy1n3XViHaxRc/edit?usp=share_link"",""ภูเก็ต!N693"")+IMPORTRANGE(""https://docs.google.c"&amp;"om/spreadsheets/d/1ctPm1vUzcUCPuOj9-eoHUD85PqINFqUB0TjdSWmR5-c/edit?usp=share_link"",""ยะลา!N693"")+IMPORTRANGE(""https://docs.google.com/spreadsheets/d/1YiDIE7Klmt8osgdapRqYWNr7iPGFSsiJqq46S7PYRE0/edit?usp=share_link"",""ระนอง!N693"")+IMPORTRANGE(""https"&amp;"://docs.google.com/spreadsheets/d/16o_4B-V7AWw_6E93bSpXj_XxVv1oVQctk-B6z1dNEWU/edit?usp=share_link"",""สงขลา!N693"")+IMPORTRANGE(""https://docs.google.com/spreadsheets/d/16cywr71Fj4fA5OGRHsZh30ZG2gwJhMAQv69oVBzYHv0/edit?usp=share_link"",""สตูล!N693"")+IMP"&amp;"ORTRANGE(""https://docs.google.com/spreadsheets/d/1vO9Sws6kMtrVtyvrAJptINXjK8TFBoX9xLYOVK_C8bQ/edit?usp=share_link"",""สุราษฎร์ธานี!N693"")"),0)</f>
        <v>0</v>
      </c>
      <c r="O693" s="38"/>
      <c r="P693" s="3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20.25" customHeight="1">
      <c r="A694" s="573"/>
      <c r="B694" s="574"/>
      <c r="C694" s="575"/>
      <c r="D694" s="575"/>
      <c r="E694" s="575"/>
      <c r="F694" s="576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IFERROR(__xludf.DUMMYFUNCTION("IMPORTRANGE(""https://docs.google.com/spreadsheets/d/1kC41EOXpGBFOW658Fs3oD8beYlym0-zO54WY-2Qnp9I/edit?usp=share_link"",""กระบี่!N694"")
+IMPORTRANGE(""https://docs.google.com/spreadsheets/d/1FbzMZY_f3MDiEuK7RpCQKrilJ_kpX0Wm7QBZ1L7EjIU/edit?usp=share_link"&amp;""",""ชุมพร!N694"")+IMPORTRANGE(""https://docs.google.com/spreadsheets/d/1v5sN-00LrXuhBxw4dkh2GrG_z4l5oAqOdJRBCsUyMaM/edit?usp=share_link"",""ตรัง!N694"")+IMPORTRANGE(""https://docs.google.com/spreadsheets/d/1T5rRTzFc79aSIvqnzkZNvwPstq829QYz_xALlO1Z0s8/edi"&amp;"t?usp=share_link"",""นครศรีธรรมราช!N694"")+IMPORTRANGE(""https://docs.google.com/spreadsheets/d/1BeghqumK0IvCmRd2QOy6_afsZq7ZtAGrSnVJy2u7WmY/edit?usp=share_link"",""นราธิวาส!N694"")+IMPORTRANGE(""https://docs.google.com/spreadsheets/d/1IwnW3-jjRf74MCLW-6P"&amp;"iFwMUffRQXZwZA7YM609NmRc/edit?usp=share_link"",""ปัตตานี!N694"")+IMPORTRANGE(""https://docs.google.com/spreadsheets/d/1vl4QWbWdFruual5o_wdo6ZSqXZ_it806oja4CctTLKs/edit?usp=share_link"",""พังงา!N694"")+IMPORTRANGE(""https://docs.google.com/spreadsheets/d/1"&amp;"b6QssHQp2FoAPSMKHOy273KNzAomaIKhtdlvuZ_zDNE/edit?usp=share_link"",""พัทลุง!N694"")+IMPORTRANGE(""https://docs.google.com/spreadsheets/d/1o7UZe4_OqlqtLDHrj01Z2YFRSZDf1DMy1n3XViHaxRc/edit?usp=share_link"",""ภูเก็ต!N694"")+IMPORTRANGE(""https://docs.google.c"&amp;"om/spreadsheets/d/1ctPm1vUzcUCPuOj9-eoHUD85PqINFqUB0TjdSWmR5-c/edit?usp=share_link"",""ยะลา!N694"")+IMPORTRANGE(""https://docs.google.com/spreadsheets/d/1YiDIE7Klmt8osgdapRqYWNr7iPGFSsiJqq46S7PYRE0/edit?usp=share_link"",""ระนอง!N694"")+IMPORTRANGE(""https"&amp;"://docs.google.com/spreadsheets/d/16o_4B-V7AWw_6E93bSpXj_XxVv1oVQctk-B6z1dNEWU/edit?usp=share_link"",""สงขลา!N694"")+IMPORTRANGE(""https://docs.google.com/spreadsheets/d/16cywr71Fj4fA5OGRHsZh30ZG2gwJhMAQv69oVBzYHv0/edit?usp=share_link"",""สตูล!N694"")+IMP"&amp;"ORTRANGE(""https://docs.google.com/spreadsheets/d/1vO9Sws6kMtrVtyvrAJptINXjK8TFBoX9xLYOVK_C8bQ/edit?usp=share_link"",""สุราษฎร์ธานี!N694"")"),11400)</f>
        <v>11400</v>
      </c>
      <c r="O694" s="38"/>
      <c r="P694" s="3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20.25" customHeight="1">
      <c r="A695" s="596"/>
      <c r="B695" s="574"/>
      <c r="C695" s="575"/>
      <c r="D695" s="757" t="s">
        <v>21</v>
      </c>
      <c r="E695" s="575"/>
      <c r="F695" s="575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20.25" hidden="1" customHeight="1">
      <c r="A696" s="598"/>
      <c r="B696" s="604"/>
      <c r="C696" s="599"/>
      <c r="D696" s="599"/>
      <c r="E696" s="758" t="s">
        <v>18</v>
      </c>
      <c r="F696" s="599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20.25" hidden="1" customHeight="1">
      <c r="A697" s="598"/>
      <c r="B697" s="604"/>
      <c r="C697" s="599"/>
      <c r="D697" s="599"/>
      <c r="E697" s="758" t="s">
        <v>19</v>
      </c>
      <c r="F697" s="599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20.25" customHeight="1">
      <c r="A698" s="607"/>
      <c r="B698" s="608"/>
      <c r="C698" s="575" t="s">
        <v>16</v>
      </c>
      <c r="D698" s="759" t="s">
        <v>38</v>
      </c>
      <c r="E698" s="760"/>
      <c r="F698" s="611"/>
      <c r="G698" s="612"/>
      <c r="H698" s="761"/>
      <c r="I698" s="162"/>
      <c r="J698" s="162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20.25" customHeight="1">
      <c r="A699" s="743"/>
      <c r="B699" s="575"/>
      <c r="C699" s="575"/>
      <c r="D699" s="576" t="s">
        <v>295</v>
      </c>
      <c r="E699" s="762"/>
      <c r="F699" s="575"/>
      <c r="G699" s="189"/>
      <c r="H699" s="763" t="s">
        <v>46</v>
      </c>
      <c r="I699" s="764">
        <f ca="1">IFERROR(__xludf.DUMMYFUNCTION("IMPORTRANGE(""https://docs.google.com/spreadsheets/d/1kC41EOXpGBFOW658Fs3oD8beYlym0-zO54WY-2Qnp9I/edit?usp=share_link"",""กระบี่!I699"")
+IMPORTRANGE(""https://docs.google.com/spreadsheets/d/1FbzMZY_f3MDiEuK7RpCQKrilJ_kpX0Wm7QBZ1L7EjIU/edit?usp=share_link"&amp;""",""ชุมพร!I699"")+IMPORTRANGE(""https://docs.google.com/spreadsheets/d/1v5sN-00LrXuhBxw4dkh2GrG_z4l5oAqOdJRBCsUyMaM/edit?usp=share_link"",""ตรัง!I699"")+IMPORTRANGE(""https://docs.google.com/spreadsheets/d/1T5rRTzFc79aSIvqnzkZNvwPstq829QYz_xALlO1Z0s8/edi"&amp;"t?usp=share_link"",""นครศรีธรรมราช!I699"")+IMPORTRANGE(""https://docs.google.com/spreadsheets/d/1BeghqumK0IvCmRd2QOy6_afsZq7ZtAGrSnVJy2u7WmY/edit?usp=share_link"",""นราธิวาส!I699"")+IMPORTRANGE(""https://docs.google.com/spreadsheets/d/1IwnW3-jjRf74MCLW-6P"&amp;"iFwMUffRQXZwZA7YM609NmRc/edit?usp=share_link"",""ปัตตานี!I699"")+IMPORTRANGE(""https://docs.google.com/spreadsheets/d/1vl4QWbWdFruual5o_wdo6ZSqXZ_it806oja4CctTLKs/edit?usp=share_link"",""พังงา!I699"")+IMPORTRANGE(""https://docs.google.com/spreadsheets/d/1"&amp;"b6QssHQp2FoAPSMKHOy273KNzAomaIKhtdlvuZ_zDNE/edit?usp=share_link"",""พัทลุง!I699"")+IMPORTRANGE(""https://docs.google.com/spreadsheets/d/1o7UZe4_OqlqtLDHrj01Z2YFRSZDf1DMy1n3XViHaxRc/edit?usp=share_link"",""ภูเก็ต!I699"")+IMPORTRANGE(""https://docs.google.c"&amp;"om/spreadsheets/d/1ctPm1vUzcUCPuOj9-eoHUD85PqINFqUB0TjdSWmR5-c/edit?usp=share_link"",""ยะลา!I699"")+IMPORTRANGE(""https://docs.google.com/spreadsheets/d/1YiDIE7Klmt8osgdapRqYWNr7iPGFSsiJqq46S7PYRE0/edit?usp=share_link"",""ระนอง!I699"")+IMPORTRANGE(""https"&amp;"://docs.google.com/spreadsheets/d/16o_4B-V7AWw_6E93bSpXj_XxVv1oVQctk-B6z1dNEWU/edit?usp=share_link"",""สงขลา!I699"")+IMPORTRANGE(""https://docs.google.com/spreadsheets/d/16cywr71Fj4fA5OGRHsZh30ZG2gwJhMAQv69oVBzYHv0/edit?usp=share_link"",""สตูล!I699"")+IMP"&amp;"ORTRANGE(""https://docs.google.com/spreadsheets/d/1vO9Sws6kMtrVtyvrAJptINXjK8TFBoX9xLYOVK_C8bQ/edit?usp=share_link"",""สุราษฎร์ธานี!I699"")"),248)</f>
        <v>248</v>
      </c>
      <c r="J699" s="37">
        <f ca="1">IFERROR(__xludf.DUMMYFUNCTION("IMPORTRANGE(""https://docs.google.com/spreadsheets/d/1kC41EOXpGBFOW658Fs3oD8beYlym0-zO54WY-2Qnp9I/edit?usp=share_link"",""กระบี่!J699"")
+IMPORTRANGE(""https://docs.google.com/spreadsheets/d/1FbzMZY_f3MDiEuK7RpCQKrilJ_kpX0Wm7QBZ1L7EjIU/edit?usp=share_link"&amp;""",""ชุมพร!J699"")+IMPORTRANGE(""https://docs.google.com/spreadsheets/d/1v5sN-00LrXuhBxw4dkh2GrG_z4l5oAqOdJRBCsUyMaM/edit?usp=share_link"",""ตรัง!J699"")+IMPORTRANGE(""https://docs.google.com/spreadsheets/d/1T5rRTzFc79aSIvqnzkZNvwPstq829QYz_xALlO1Z0s8/edi"&amp;"t?usp=share_link"",""นครศรีธรรมราช!J699"")+IMPORTRANGE(""https://docs.google.com/spreadsheets/d/1BeghqumK0IvCmRd2QOy6_afsZq7ZtAGrSnVJy2u7WmY/edit?usp=share_link"",""นราธิวาส!J699"")+IMPORTRANGE(""https://docs.google.com/spreadsheets/d/1IwnW3-jjRf74MCLW-6P"&amp;"iFwMUffRQXZwZA7YM609NmRc/edit?usp=share_link"",""ปัตตานี!J699"")+IMPORTRANGE(""https://docs.google.com/spreadsheets/d/1vl4QWbWdFruual5o_wdo6ZSqXZ_it806oja4CctTLKs/edit?usp=share_link"",""พังงา!J699"")+IMPORTRANGE(""https://docs.google.com/spreadsheets/d/1"&amp;"b6QssHQp2FoAPSMKHOy273KNzAomaIKhtdlvuZ_zDNE/edit?usp=share_link"",""พัทลุง!J699"")+IMPORTRANGE(""https://docs.google.com/spreadsheets/d/1o7UZe4_OqlqtLDHrj01Z2YFRSZDf1DMy1n3XViHaxRc/edit?usp=share_link"",""ภูเก็ต!J699"")+IMPORTRANGE(""https://docs.google.c"&amp;"om/spreadsheets/d/1ctPm1vUzcUCPuOj9-eoHUD85PqINFqUB0TjdSWmR5-c/edit?usp=share_link"",""ยะลา!J699"")+IMPORTRANGE(""https://docs.google.com/spreadsheets/d/1YiDIE7Klmt8osgdapRqYWNr7iPGFSsiJqq46S7PYRE0/edit?usp=share_link"",""ระนอง!J699"")+IMPORTRANGE(""https"&amp;"://docs.google.com/spreadsheets/d/16o_4B-V7AWw_6E93bSpXj_XxVv1oVQctk-B6z1dNEWU/edit?usp=share_link"",""สงขลา!J699"")+IMPORTRANGE(""https://docs.google.com/spreadsheets/d/16cywr71Fj4fA5OGRHsZh30ZG2gwJhMAQv69oVBzYHv0/edit?usp=share_link"",""สตูล!J699"")+IMP"&amp;"ORTRANGE(""https://docs.google.com/spreadsheets/d/1vO9Sws6kMtrVtyvrAJptINXjK8TFBoX9xLYOVK_C8bQ/edit?usp=share_link"",""สุราษฎร์ธานี!J699"")"),106.92)</f>
        <v>106.92</v>
      </c>
      <c r="K699" s="38">
        <f t="shared" ref="K699:K701" ca="1" si="329">IF(I699&gt;0,J699*100/I699,0)</f>
        <v>43.112903225806448</v>
      </c>
      <c r="L699" s="38"/>
      <c r="M699" s="189"/>
      <c r="N699" s="765"/>
      <c r="O699" s="38"/>
      <c r="P699" s="3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20.25" customHeight="1">
      <c r="A700" s="743"/>
      <c r="B700" s="575"/>
      <c r="C700" s="575"/>
      <c r="D700" s="576" t="s">
        <v>296</v>
      </c>
      <c r="E700" s="575"/>
      <c r="F700" s="575"/>
      <c r="G700" s="189"/>
      <c r="H700" s="763" t="s">
        <v>35</v>
      </c>
      <c r="I700" s="764">
        <f ca="1">IFERROR(__xludf.DUMMYFUNCTION("IMPORTRANGE(""https://docs.google.com/spreadsheets/d/1kC41EOXpGBFOW658Fs3oD8beYlym0-zO54WY-2Qnp9I/edit?usp=share_link"",""กระบี่!I700"")
+IMPORTRANGE(""https://docs.google.com/spreadsheets/d/1FbzMZY_f3MDiEuK7RpCQKrilJ_kpX0Wm7QBZ1L7EjIU/edit?usp=share_link"&amp;""",""ชุมพร!I700"")+IMPORTRANGE(""https://docs.google.com/spreadsheets/d/1v5sN-00LrXuhBxw4dkh2GrG_z4l5oAqOdJRBCsUyMaM/edit?usp=share_link"",""ตรัง!I700"")+IMPORTRANGE(""https://docs.google.com/spreadsheets/d/1T5rRTzFc79aSIvqnzkZNvwPstq829QYz_xALlO1Z0s8/edi"&amp;"t?usp=share_link"",""นครศรีธรรมราช!I700"")+IMPORTRANGE(""https://docs.google.com/spreadsheets/d/1BeghqumK0IvCmRd2QOy6_afsZq7ZtAGrSnVJy2u7WmY/edit?usp=share_link"",""นราธิวาส!I700"")+IMPORTRANGE(""https://docs.google.com/spreadsheets/d/1IwnW3-jjRf74MCLW-6P"&amp;"iFwMUffRQXZwZA7YM609NmRc/edit?usp=share_link"",""ปัตตานี!I700"")+IMPORTRANGE(""https://docs.google.com/spreadsheets/d/1vl4QWbWdFruual5o_wdo6ZSqXZ_it806oja4CctTLKs/edit?usp=share_link"",""พังงา!I700"")+IMPORTRANGE(""https://docs.google.com/spreadsheets/d/1"&amp;"b6QssHQp2FoAPSMKHOy273KNzAomaIKhtdlvuZ_zDNE/edit?usp=share_link"",""พัทลุง!I700"")+IMPORTRANGE(""https://docs.google.com/spreadsheets/d/1o7UZe4_OqlqtLDHrj01Z2YFRSZDf1DMy1n3XViHaxRc/edit?usp=share_link"",""ภูเก็ต!I700"")+IMPORTRANGE(""https://docs.google.c"&amp;"om/spreadsheets/d/1ctPm1vUzcUCPuOj9-eoHUD85PqINFqUB0TjdSWmR5-c/edit?usp=share_link"",""ยะลา!I700"")+IMPORTRANGE(""https://docs.google.com/spreadsheets/d/1YiDIE7Klmt8osgdapRqYWNr7iPGFSsiJqq46S7PYRE0/edit?usp=share_link"",""ระนอง!I700"")+IMPORTRANGE(""https"&amp;"://docs.google.com/spreadsheets/d/16o_4B-V7AWw_6E93bSpXj_XxVv1oVQctk-B6z1dNEWU/edit?usp=share_link"",""สงขลา!I700"")+IMPORTRANGE(""https://docs.google.com/spreadsheets/d/16cywr71Fj4fA5OGRHsZh30ZG2gwJhMAQv69oVBzYHv0/edit?usp=share_link"",""สตูล!I700"")+IMP"&amp;"ORTRANGE(""https://docs.google.com/spreadsheets/d/1vO9Sws6kMtrVtyvrAJptINXjK8TFBoX9xLYOVK_C8bQ/edit?usp=share_link"",""สุราษฎร์ธานี!I700"")"),57)</f>
        <v>57</v>
      </c>
      <c r="J700" s="37">
        <f ca="1">IFERROR(__xludf.DUMMYFUNCTION("IMPORTRANGE(""https://docs.google.com/spreadsheets/d/1kC41EOXpGBFOW658Fs3oD8beYlym0-zO54WY-2Qnp9I/edit?usp=share_link"",""กระบี่!J700"")
+IMPORTRANGE(""https://docs.google.com/spreadsheets/d/1FbzMZY_f3MDiEuK7RpCQKrilJ_kpX0Wm7QBZ1L7EjIU/edit?usp=share_link"&amp;""",""ชุมพร!J700"")+IMPORTRANGE(""https://docs.google.com/spreadsheets/d/1v5sN-00LrXuhBxw4dkh2GrG_z4l5oAqOdJRBCsUyMaM/edit?usp=share_link"",""ตรัง!J700"")+IMPORTRANGE(""https://docs.google.com/spreadsheets/d/1T5rRTzFc79aSIvqnzkZNvwPstq829QYz_xALlO1Z0s8/edi"&amp;"t?usp=share_link"",""นครศรีธรรมราช!J700"")+IMPORTRANGE(""https://docs.google.com/spreadsheets/d/1BeghqumK0IvCmRd2QOy6_afsZq7ZtAGrSnVJy2u7WmY/edit?usp=share_link"",""นราธิวาส!J700"")+IMPORTRANGE(""https://docs.google.com/spreadsheets/d/1IwnW3-jjRf74MCLW-6P"&amp;"iFwMUffRQXZwZA7YM609NmRc/edit?usp=share_link"",""ปัตตานี!J700"")+IMPORTRANGE(""https://docs.google.com/spreadsheets/d/1vl4QWbWdFruual5o_wdo6ZSqXZ_it806oja4CctTLKs/edit?usp=share_link"",""พังงา!J700"")+IMPORTRANGE(""https://docs.google.com/spreadsheets/d/1"&amp;"b6QssHQp2FoAPSMKHOy273KNzAomaIKhtdlvuZ_zDNE/edit?usp=share_link"",""พัทลุง!J700"")+IMPORTRANGE(""https://docs.google.com/spreadsheets/d/1o7UZe4_OqlqtLDHrj01Z2YFRSZDf1DMy1n3XViHaxRc/edit?usp=share_link"",""ภูเก็ต!J700"")+IMPORTRANGE(""https://docs.google.c"&amp;"om/spreadsheets/d/1ctPm1vUzcUCPuOj9-eoHUD85PqINFqUB0TjdSWmR5-c/edit?usp=share_link"",""ยะลา!J700"")+IMPORTRANGE(""https://docs.google.com/spreadsheets/d/1YiDIE7Klmt8osgdapRqYWNr7iPGFSsiJqq46S7PYRE0/edit?usp=share_link"",""ระนอง!J700"")+IMPORTRANGE(""https"&amp;"://docs.google.com/spreadsheets/d/16o_4B-V7AWw_6E93bSpXj_XxVv1oVQctk-B6z1dNEWU/edit?usp=share_link"",""สงขลา!J700"")+IMPORTRANGE(""https://docs.google.com/spreadsheets/d/16cywr71Fj4fA5OGRHsZh30ZG2gwJhMAQv69oVBzYHv0/edit?usp=share_link"",""สตูล!J700"")+IMP"&amp;"ORTRANGE(""https://docs.google.com/spreadsheets/d/1vO9Sws6kMtrVtyvrAJptINXjK8TFBoX9xLYOVK_C8bQ/edit?usp=share_link"",""สุราษฎร์ธานี!J700"")"),0)</f>
        <v>0</v>
      </c>
      <c r="K700" s="38">
        <f t="shared" ca="1" si="329"/>
        <v>0</v>
      </c>
      <c r="L700" s="38"/>
      <c r="M700" s="189"/>
      <c r="N700" s="765"/>
      <c r="O700" s="38"/>
      <c r="P700" s="3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20.25" customHeight="1">
      <c r="A701" s="743"/>
      <c r="B701" s="575"/>
      <c r="C701" s="575"/>
      <c r="D701" s="576" t="s">
        <v>297</v>
      </c>
      <c r="E701" s="575"/>
      <c r="F701" s="575"/>
      <c r="G701" s="189"/>
      <c r="H701" s="766" t="s">
        <v>46</v>
      </c>
      <c r="I701" s="767">
        <f ca="1">IFERROR(__xludf.DUMMYFUNCTION("IMPORTRANGE(""https://docs.google.com/spreadsheets/d/1kC41EOXpGBFOW658Fs3oD8beYlym0-zO54WY-2Qnp9I/edit?usp=share_link"",""กระบี่!I701"")
+IMPORTRANGE(""https://docs.google.com/spreadsheets/d/1FbzMZY_f3MDiEuK7RpCQKrilJ_kpX0Wm7QBZ1L7EjIU/edit?usp=share_link"&amp;""",""ชุมพร!I701"")+IMPORTRANGE(""https://docs.google.com/spreadsheets/d/1v5sN-00LrXuhBxw4dkh2GrG_z4l5oAqOdJRBCsUyMaM/edit?usp=share_link"",""ตรัง!I701"")+IMPORTRANGE(""https://docs.google.com/spreadsheets/d/1T5rRTzFc79aSIvqnzkZNvwPstq829QYz_xALlO1Z0s8/edi"&amp;"t?usp=share_link"",""นครศรีธรรมราช!I701"")+IMPORTRANGE(""https://docs.google.com/spreadsheets/d/1BeghqumK0IvCmRd2QOy6_afsZq7ZtAGrSnVJy2u7WmY/edit?usp=share_link"",""นราธิวาส!I701"")+IMPORTRANGE(""https://docs.google.com/spreadsheets/d/1IwnW3-jjRf74MCLW-6P"&amp;"iFwMUffRQXZwZA7YM609NmRc/edit?usp=share_link"",""ปัตตานี!I701"")+IMPORTRANGE(""https://docs.google.com/spreadsheets/d/1vl4QWbWdFruual5o_wdo6ZSqXZ_it806oja4CctTLKs/edit?usp=share_link"",""พังงา!I701"")+IMPORTRANGE(""https://docs.google.com/spreadsheets/d/1"&amp;"b6QssHQp2FoAPSMKHOy273KNzAomaIKhtdlvuZ_zDNE/edit?usp=share_link"",""พัทลุง!I701"")+IMPORTRANGE(""https://docs.google.com/spreadsheets/d/1o7UZe4_OqlqtLDHrj01Z2YFRSZDf1DMy1n3XViHaxRc/edit?usp=share_link"",""ภูเก็ต!I701"")+IMPORTRANGE(""https://docs.google.c"&amp;"om/spreadsheets/d/1ctPm1vUzcUCPuOj9-eoHUD85PqINFqUB0TjdSWmR5-c/edit?usp=share_link"",""ยะลา!I701"")+IMPORTRANGE(""https://docs.google.com/spreadsheets/d/1YiDIE7Klmt8osgdapRqYWNr7iPGFSsiJqq46S7PYRE0/edit?usp=share_link"",""ระนอง!I701"")+IMPORTRANGE(""https"&amp;"://docs.google.com/spreadsheets/d/16o_4B-V7AWw_6E93bSpXj_XxVv1oVQctk-B6z1dNEWU/edit?usp=share_link"",""สงขลา!I701"")+IMPORTRANGE(""https://docs.google.com/spreadsheets/d/16cywr71Fj4fA5OGRHsZh30ZG2gwJhMAQv69oVBzYHv0/edit?usp=share_link"",""สตูล!I701"")+IMP"&amp;"ORTRANGE(""https://docs.google.com/spreadsheets/d/1vO9Sws6kMtrVtyvrAJptINXjK8TFBoX9xLYOVK_C8bQ/edit?usp=share_link"",""สุราษฎร์ธานี!I701"")"),50)</f>
        <v>50</v>
      </c>
      <c r="J701" s="194">
        <f ca="1">J704+J707</f>
        <v>0</v>
      </c>
      <c r="K701" s="195">
        <f t="shared" ca="1" si="329"/>
        <v>0</v>
      </c>
      <c r="L701" s="38"/>
      <c r="M701" s="189"/>
      <c r="N701" s="765"/>
      <c r="O701" s="38"/>
      <c r="P701" s="3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20.25" customHeight="1">
      <c r="A702" s="743"/>
      <c r="B702" s="575"/>
      <c r="C702" s="575"/>
      <c r="D702" s="575"/>
      <c r="E702" s="576" t="s">
        <v>298</v>
      </c>
      <c r="F702" s="575"/>
      <c r="G702" s="189"/>
      <c r="H702" s="182" t="s">
        <v>35</v>
      </c>
      <c r="I702" s="764"/>
      <c r="J702" s="183">
        <f ca="1">IFERROR(__xludf.DUMMYFUNCTION("IMPORTRANGE(""https://docs.google.com/spreadsheets/d/1kC41EOXpGBFOW658Fs3oD8beYlym0-zO54WY-2Qnp9I/edit?usp=share_link"",""กระบี่!J702"")
+IMPORTRANGE(""https://docs.google.com/spreadsheets/d/1FbzMZY_f3MDiEuK7RpCQKrilJ_kpX0Wm7QBZ1L7EjIU/edit?usp=share_link"&amp;""",""ชุมพร!J702"")+IMPORTRANGE(""https://docs.google.com/spreadsheets/d/1v5sN-00LrXuhBxw4dkh2GrG_z4l5oAqOdJRBCsUyMaM/edit?usp=share_link"",""ตรัง!J702"")+IMPORTRANGE(""https://docs.google.com/spreadsheets/d/1T5rRTzFc79aSIvqnzkZNvwPstq829QYz_xALlO1Z0s8/edi"&amp;"t?usp=share_link"",""นครศรีธรรมราช!J702"")+IMPORTRANGE(""https://docs.google.com/spreadsheets/d/1BeghqumK0IvCmRd2QOy6_afsZq7ZtAGrSnVJy2u7WmY/edit?usp=share_link"",""นราธิวาส!J702"")+IMPORTRANGE(""https://docs.google.com/spreadsheets/d/1IwnW3-jjRf74MCLW-6P"&amp;"iFwMUffRQXZwZA7YM609NmRc/edit?usp=share_link"",""ปัตตานี!J702"")+IMPORTRANGE(""https://docs.google.com/spreadsheets/d/1vl4QWbWdFruual5o_wdo6ZSqXZ_it806oja4CctTLKs/edit?usp=share_link"",""พังงา!J702"")+IMPORTRANGE(""https://docs.google.com/spreadsheets/d/1"&amp;"b6QssHQp2FoAPSMKHOy273KNzAomaIKhtdlvuZ_zDNE/edit?usp=share_link"",""พัทลุง!J702"")+IMPORTRANGE(""https://docs.google.com/spreadsheets/d/1o7UZe4_OqlqtLDHrj01Z2YFRSZDf1DMy1n3XViHaxRc/edit?usp=share_link"",""ภูเก็ต!J702"")+IMPORTRANGE(""https://docs.google.c"&amp;"om/spreadsheets/d/1ctPm1vUzcUCPuOj9-eoHUD85PqINFqUB0TjdSWmR5-c/edit?usp=share_link"",""ยะลา!J702"")+IMPORTRANGE(""https://docs.google.com/spreadsheets/d/1YiDIE7Klmt8osgdapRqYWNr7iPGFSsiJqq46S7PYRE0/edit?usp=share_link"",""ระนอง!J702"")+IMPORTRANGE(""https"&amp;"://docs.google.com/spreadsheets/d/16o_4B-V7AWw_6E93bSpXj_XxVv1oVQctk-B6z1dNEWU/edit?usp=share_link"",""สงขลา!J702"")+IMPORTRANGE(""https://docs.google.com/spreadsheets/d/16cywr71Fj4fA5OGRHsZh30ZG2gwJhMAQv69oVBzYHv0/edit?usp=share_link"",""สตูล!J702"")+IMP"&amp;"ORTRANGE(""https://docs.google.com/spreadsheets/d/1vO9Sws6kMtrVtyvrAJptINXjK8TFBoX9xLYOVK_C8bQ/edit?usp=share_link"",""สุราษฎร์ธานี!J702"")"),0)</f>
        <v>0</v>
      </c>
      <c r="K702" s="38"/>
      <c r="L702" s="38"/>
      <c r="M702" s="189"/>
      <c r="N702" s="765"/>
      <c r="O702" s="38"/>
      <c r="P702" s="3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20.25" customHeight="1">
      <c r="A703" s="743"/>
      <c r="B703" s="575"/>
      <c r="C703" s="575"/>
      <c r="D703" s="575"/>
      <c r="E703" s="575"/>
      <c r="F703" s="575"/>
      <c r="G703" s="189"/>
      <c r="H703" s="182" t="s">
        <v>34</v>
      </c>
      <c r="I703" s="764"/>
      <c r="J703" s="183">
        <f ca="1">IFERROR(__xludf.DUMMYFUNCTION("IMPORTRANGE(""https://docs.google.com/spreadsheets/d/1kC41EOXpGBFOW658Fs3oD8beYlym0-zO54WY-2Qnp9I/edit?usp=share_link"",""กระบี่!J703"")
+IMPORTRANGE(""https://docs.google.com/spreadsheets/d/1FbzMZY_f3MDiEuK7RpCQKrilJ_kpX0Wm7QBZ1L7EjIU/edit?usp=share_link"&amp;""",""ชุมพร!J703"")+IMPORTRANGE(""https://docs.google.com/spreadsheets/d/1v5sN-00LrXuhBxw4dkh2GrG_z4l5oAqOdJRBCsUyMaM/edit?usp=share_link"",""ตรัง!J703"")+IMPORTRANGE(""https://docs.google.com/spreadsheets/d/1T5rRTzFc79aSIvqnzkZNvwPstq829QYz_xALlO1Z0s8/edi"&amp;"t?usp=share_link"",""นครศรีธรรมราช!J703"")+IMPORTRANGE(""https://docs.google.com/spreadsheets/d/1BeghqumK0IvCmRd2QOy6_afsZq7ZtAGrSnVJy2u7WmY/edit?usp=share_link"",""นราธิวาส!J703"")+IMPORTRANGE(""https://docs.google.com/spreadsheets/d/1IwnW3-jjRf74MCLW-6P"&amp;"iFwMUffRQXZwZA7YM609NmRc/edit?usp=share_link"",""ปัตตานี!J703"")+IMPORTRANGE(""https://docs.google.com/spreadsheets/d/1vl4QWbWdFruual5o_wdo6ZSqXZ_it806oja4CctTLKs/edit?usp=share_link"",""พังงา!J703"")+IMPORTRANGE(""https://docs.google.com/spreadsheets/d/1"&amp;"b6QssHQp2FoAPSMKHOy273KNzAomaIKhtdlvuZ_zDNE/edit?usp=share_link"",""พัทลุง!J703"")+IMPORTRANGE(""https://docs.google.com/spreadsheets/d/1o7UZe4_OqlqtLDHrj01Z2YFRSZDf1DMy1n3XViHaxRc/edit?usp=share_link"",""ภูเก็ต!J703"")+IMPORTRANGE(""https://docs.google.c"&amp;"om/spreadsheets/d/1ctPm1vUzcUCPuOj9-eoHUD85PqINFqUB0TjdSWmR5-c/edit?usp=share_link"",""ยะลา!J703"")+IMPORTRANGE(""https://docs.google.com/spreadsheets/d/1YiDIE7Klmt8osgdapRqYWNr7iPGFSsiJqq46S7PYRE0/edit?usp=share_link"",""ระนอง!J703"")+IMPORTRANGE(""https"&amp;"://docs.google.com/spreadsheets/d/16o_4B-V7AWw_6E93bSpXj_XxVv1oVQctk-B6z1dNEWU/edit?usp=share_link"",""สงขลา!J703"")+IMPORTRANGE(""https://docs.google.com/spreadsheets/d/16cywr71Fj4fA5OGRHsZh30ZG2gwJhMAQv69oVBzYHv0/edit?usp=share_link"",""สตูล!J703"")+IMP"&amp;"ORTRANGE(""https://docs.google.com/spreadsheets/d/1vO9Sws6kMtrVtyvrAJptINXjK8TFBoX9xLYOVK_C8bQ/edit?usp=share_link"",""สุราษฎร์ธานี!J703"")"),0)</f>
        <v>0</v>
      </c>
      <c r="K703" s="38"/>
      <c r="L703" s="38"/>
      <c r="M703" s="189"/>
      <c r="N703" s="765"/>
      <c r="O703" s="38"/>
      <c r="P703" s="3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20.25" customHeight="1">
      <c r="A704" s="743"/>
      <c r="B704" s="575"/>
      <c r="C704" s="575"/>
      <c r="D704" s="575"/>
      <c r="E704" s="575"/>
      <c r="F704" s="575"/>
      <c r="G704" s="189"/>
      <c r="H704" s="182" t="s">
        <v>46</v>
      </c>
      <c r="I704" s="764">
        <f ca="1">IFERROR(__xludf.DUMMYFUNCTION("IMPORTRANGE(""https://docs.google.com/spreadsheets/d/1kC41EOXpGBFOW658Fs3oD8beYlym0-zO54WY-2Qnp9I/edit?usp=share_link"",""กระบี่!I704"")
+IMPORTRANGE(""https://docs.google.com/spreadsheets/d/1FbzMZY_f3MDiEuK7RpCQKrilJ_kpX0Wm7QBZ1L7EjIU/edit?usp=share_link"&amp;""",""ชุมพร!I704"")+IMPORTRANGE(""https://docs.google.com/spreadsheets/d/1v5sN-00LrXuhBxw4dkh2GrG_z4l5oAqOdJRBCsUyMaM/edit?usp=share_link"",""ตรัง!I704"")+IMPORTRANGE(""https://docs.google.com/spreadsheets/d/1T5rRTzFc79aSIvqnzkZNvwPstq829QYz_xALlO1Z0s8/edi"&amp;"t?usp=share_link"",""นครศรีธรรมราช!I704"")+IMPORTRANGE(""https://docs.google.com/spreadsheets/d/1BeghqumK0IvCmRd2QOy6_afsZq7ZtAGrSnVJy2u7WmY/edit?usp=share_link"",""นราธิวาส!I704"")+IMPORTRANGE(""https://docs.google.com/spreadsheets/d/1IwnW3-jjRf74MCLW-6P"&amp;"iFwMUffRQXZwZA7YM609NmRc/edit?usp=share_link"",""ปัตตานี!I704"")+IMPORTRANGE(""https://docs.google.com/spreadsheets/d/1vl4QWbWdFruual5o_wdo6ZSqXZ_it806oja4CctTLKs/edit?usp=share_link"",""พังงา!I704"")+IMPORTRANGE(""https://docs.google.com/spreadsheets/d/1"&amp;"b6QssHQp2FoAPSMKHOy273KNzAomaIKhtdlvuZ_zDNE/edit?usp=share_link"",""พัทลุง!I704"")+IMPORTRANGE(""https://docs.google.com/spreadsheets/d/1o7UZe4_OqlqtLDHrj01Z2YFRSZDf1DMy1n3XViHaxRc/edit?usp=share_link"",""ภูเก็ต!I704"")+IMPORTRANGE(""https://docs.google.c"&amp;"om/spreadsheets/d/1ctPm1vUzcUCPuOj9-eoHUD85PqINFqUB0TjdSWmR5-c/edit?usp=share_link"",""ยะลา!I704"")+IMPORTRANGE(""https://docs.google.com/spreadsheets/d/1YiDIE7Klmt8osgdapRqYWNr7iPGFSsiJqq46S7PYRE0/edit?usp=share_link"",""ระนอง!I704"")+IMPORTRANGE(""https"&amp;"://docs.google.com/spreadsheets/d/16o_4B-V7AWw_6E93bSpXj_XxVv1oVQctk-B6z1dNEWU/edit?usp=share_link"",""สงขลา!I704"")+IMPORTRANGE(""https://docs.google.com/spreadsheets/d/16cywr71Fj4fA5OGRHsZh30ZG2gwJhMAQv69oVBzYHv0/edit?usp=share_link"",""สตูล!I704"")+IMP"&amp;"ORTRANGE(""https://docs.google.com/spreadsheets/d/1vO9Sws6kMtrVtyvrAJptINXjK8TFBoX9xLYOVK_C8bQ/edit?usp=share_link"",""สุราษฎร์ธานี!I704"")"),0)</f>
        <v>0</v>
      </c>
      <c r="J704" s="183">
        <f ca="1">IFERROR(__xludf.DUMMYFUNCTION("IMPORTRANGE(""https://docs.google.com/spreadsheets/d/1kC41EOXpGBFOW658Fs3oD8beYlym0-zO54WY-2Qnp9I/edit?usp=share_link"",""กระบี่!J704"")
+IMPORTRANGE(""https://docs.google.com/spreadsheets/d/1FbzMZY_f3MDiEuK7RpCQKrilJ_kpX0Wm7QBZ1L7EjIU/edit?usp=share_link"&amp;""",""ชุมพร!J704"")+IMPORTRANGE(""https://docs.google.com/spreadsheets/d/1v5sN-00LrXuhBxw4dkh2GrG_z4l5oAqOdJRBCsUyMaM/edit?usp=share_link"",""ตรัง!J704"")+IMPORTRANGE(""https://docs.google.com/spreadsheets/d/1T5rRTzFc79aSIvqnzkZNvwPstq829QYz_xALlO1Z0s8/edi"&amp;"t?usp=share_link"",""นครศรีธรรมราช!J704"")+IMPORTRANGE(""https://docs.google.com/spreadsheets/d/1BeghqumK0IvCmRd2QOy6_afsZq7ZtAGrSnVJy2u7WmY/edit?usp=share_link"",""นราธิวาส!J704"")+IMPORTRANGE(""https://docs.google.com/spreadsheets/d/1IwnW3-jjRf74MCLW-6P"&amp;"iFwMUffRQXZwZA7YM609NmRc/edit?usp=share_link"",""ปัตตานี!J704"")+IMPORTRANGE(""https://docs.google.com/spreadsheets/d/1vl4QWbWdFruual5o_wdo6ZSqXZ_it806oja4CctTLKs/edit?usp=share_link"",""พังงา!J704"")+IMPORTRANGE(""https://docs.google.com/spreadsheets/d/1"&amp;"b6QssHQp2FoAPSMKHOy273KNzAomaIKhtdlvuZ_zDNE/edit?usp=share_link"",""พัทลุง!J704"")+IMPORTRANGE(""https://docs.google.com/spreadsheets/d/1o7UZe4_OqlqtLDHrj01Z2YFRSZDf1DMy1n3XViHaxRc/edit?usp=share_link"",""ภูเก็ต!J704"")+IMPORTRANGE(""https://docs.google.c"&amp;"om/spreadsheets/d/1ctPm1vUzcUCPuOj9-eoHUD85PqINFqUB0TjdSWmR5-c/edit?usp=share_link"",""ยะลา!J704"")+IMPORTRANGE(""https://docs.google.com/spreadsheets/d/1YiDIE7Klmt8osgdapRqYWNr7iPGFSsiJqq46S7PYRE0/edit?usp=share_link"",""ระนอง!J704"")+IMPORTRANGE(""https"&amp;"://docs.google.com/spreadsheets/d/16o_4B-V7AWw_6E93bSpXj_XxVv1oVQctk-B6z1dNEWU/edit?usp=share_link"",""สงขลา!J704"")+IMPORTRANGE(""https://docs.google.com/spreadsheets/d/16cywr71Fj4fA5OGRHsZh30ZG2gwJhMAQv69oVBzYHv0/edit?usp=share_link"",""สตูล!J704"")+IMP"&amp;"ORTRANGE(""https://docs.google.com/spreadsheets/d/1vO9Sws6kMtrVtyvrAJptINXjK8TFBoX9xLYOVK_C8bQ/edit?usp=share_link"",""สุราษฎร์ธานี!J704"")"),0)</f>
        <v>0</v>
      </c>
      <c r="K704" s="38"/>
      <c r="L704" s="38"/>
      <c r="M704" s="189"/>
      <c r="N704" s="765"/>
      <c r="O704" s="38"/>
      <c r="P704" s="3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20.25" customHeight="1">
      <c r="A705" s="743"/>
      <c r="B705" s="575"/>
      <c r="C705" s="575"/>
      <c r="D705" s="575"/>
      <c r="E705" s="576" t="s">
        <v>299</v>
      </c>
      <c r="F705" s="575"/>
      <c r="G705" s="189"/>
      <c r="H705" s="182" t="s">
        <v>35</v>
      </c>
      <c r="I705" s="764"/>
      <c r="J705" s="183">
        <f ca="1">IFERROR(__xludf.DUMMYFUNCTION("IMPORTRANGE(""https://docs.google.com/spreadsheets/d/1kC41EOXpGBFOW658Fs3oD8beYlym0-zO54WY-2Qnp9I/edit?usp=share_link"",""กระบี่!J705"")
+IMPORTRANGE(""https://docs.google.com/spreadsheets/d/1FbzMZY_f3MDiEuK7RpCQKrilJ_kpX0Wm7QBZ1L7EjIU/edit?usp=share_link"&amp;""",""ชุมพร!J705"")+IMPORTRANGE(""https://docs.google.com/spreadsheets/d/1v5sN-00LrXuhBxw4dkh2GrG_z4l5oAqOdJRBCsUyMaM/edit?usp=share_link"",""ตรัง!J705"")+IMPORTRANGE(""https://docs.google.com/spreadsheets/d/1T5rRTzFc79aSIvqnzkZNvwPstq829QYz_xALlO1Z0s8/edi"&amp;"t?usp=share_link"",""นครศรีธรรมราช!J705"")+IMPORTRANGE(""https://docs.google.com/spreadsheets/d/1BeghqumK0IvCmRd2QOy6_afsZq7ZtAGrSnVJy2u7WmY/edit?usp=share_link"",""นราธิวาส!J705"")+IMPORTRANGE(""https://docs.google.com/spreadsheets/d/1IwnW3-jjRf74MCLW-6P"&amp;"iFwMUffRQXZwZA7YM609NmRc/edit?usp=share_link"",""ปัตตานี!J705"")+IMPORTRANGE(""https://docs.google.com/spreadsheets/d/1vl4QWbWdFruual5o_wdo6ZSqXZ_it806oja4CctTLKs/edit?usp=share_link"",""พังงา!J705"")+IMPORTRANGE(""https://docs.google.com/spreadsheets/d/1"&amp;"b6QssHQp2FoAPSMKHOy273KNzAomaIKhtdlvuZ_zDNE/edit?usp=share_link"",""พัทลุง!J705"")+IMPORTRANGE(""https://docs.google.com/spreadsheets/d/1o7UZe4_OqlqtLDHrj01Z2YFRSZDf1DMy1n3XViHaxRc/edit?usp=share_link"",""ภูเก็ต!J705"")+IMPORTRANGE(""https://docs.google.c"&amp;"om/spreadsheets/d/1ctPm1vUzcUCPuOj9-eoHUD85PqINFqUB0TjdSWmR5-c/edit?usp=share_link"",""ยะลา!J705"")+IMPORTRANGE(""https://docs.google.com/spreadsheets/d/1YiDIE7Klmt8osgdapRqYWNr7iPGFSsiJqq46S7PYRE0/edit?usp=share_link"",""ระนอง!J705"")+IMPORTRANGE(""https"&amp;"://docs.google.com/spreadsheets/d/16o_4B-V7AWw_6E93bSpXj_XxVv1oVQctk-B6z1dNEWU/edit?usp=share_link"",""สงขลา!J705"")+IMPORTRANGE(""https://docs.google.com/spreadsheets/d/16cywr71Fj4fA5OGRHsZh30ZG2gwJhMAQv69oVBzYHv0/edit?usp=share_link"",""สตูล!J705"")+IMP"&amp;"ORTRANGE(""https://docs.google.com/spreadsheets/d/1vO9Sws6kMtrVtyvrAJptINXjK8TFBoX9xLYOVK_C8bQ/edit?usp=share_link"",""สุราษฎร์ธานี!J705"")"),0)</f>
        <v>0</v>
      </c>
      <c r="K705" s="38"/>
      <c r="L705" s="38"/>
      <c r="M705" s="189"/>
      <c r="N705" s="765"/>
      <c r="O705" s="38"/>
      <c r="P705" s="3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20.25" customHeight="1">
      <c r="A706" s="743"/>
      <c r="B706" s="575"/>
      <c r="C706" s="575"/>
      <c r="D706" s="575"/>
      <c r="E706" s="575"/>
      <c r="F706" s="575"/>
      <c r="G706" s="189"/>
      <c r="H706" s="182" t="s">
        <v>34</v>
      </c>
      <c r="I706" s="764"/>
      <c r="J706" s="183">
        <f ca="1">IFERROR(__xludf.DUMMYFUNCTION("IMPORTRANGE(""https://docs.google.com/spreadsheets/d/1kC41EOXpGBFOW658Fs3oD8beYlym0-zO54WY-2Qnp9I/edit?usp=share_link"",""กระบี่!J706"")
+IMPORTRANGE(""https://docs.google.com/spreadsheets/d/1FbzMZY_f3MDiEuK7RpCQKrilJ_kpX0Wm7QBZ1L7EjIU/edit?usp=share_link"&amp;""",""ชุมพร!J706"")+IMPORTRANGE(""https://docs.google.com/spreadsheets/d/1v5sN-00LrXuhBxw4dkh2GrG_z4l5oAqOdJRBCsUyMaM/edit?usp=share_link"",""ตรัง!J706"")+IMPORTRANGE(""https://docs.google.com/spreadsheets/d/1T5rRTzFc79aSIvqnzkZNvwPstq829QYz_xALlO1Z0s8/edi"&amp;"t?usp=share_link"",""นครศรีธรรมราช!J706"")+IMPORTRANGE(""https://docs.google.com/spreadsheets/d/1BeghqumK0IvCmRd2QOy6_afsZq7ZtAGrSnVJy2u7WmY/edit?usp=share_link"",""นราธิวาส!J706"")+IMPORTRANGE(""https://docs.google.com/spreadsheets/d/1IwnW3-jjRf74MCLW-6P"&amp;"iFwMUffRQXZwZA7YM609NmRc/edit?usp=share_link"",""ปัตตานี!J706"")+IMPORTRANGE(""https://docs.google.com/spreadsheets/d/1vl4QWbWdFruual5o_wdo6ZSqXZ_it806oja4CctTLKs/edit?usp=share_link"",""พังงา!J706"")+IMPORTRANGE(""https://docs.google.com/spreadsheets/d/1"&amp;"b6QssHQp2FoAPSMKHOy273KNzAomaIKhtdlvuZ_zDNE/edit?usp=share_link"",""พัทลุง!J706"")+IMPORTRANGE(""https://docs.google.com/spreadsheets/d/1o7UZe4_OqlqtLDHrj01Z2YFRSZDf1DMy1n3XViHaxRc/edit?usp=share_link"",""ภูเก็ต!J706"")+IMPORTRANGE(""https://docs.google.c"&amp;"om/spreadsheets/d/1ctPm1vUzcUCPuOj9-eoHUD85PqINFqUB0TjdSWmR5-c/edit?usp=share_link"",""ยะลา!J706"")+IMPORTRANGE(""https://docs.google.com/spreadsheets/d/1YiDIE7Klmt8osgdapRqYWNr7iPGFSsiJqq46S7PYRE0/edit?usp=share_link"",""ระนอง!J706"")+IMPORTRANGE(""https"&amp;"://docs.google.com/spreadsheets/d/16o_4B-V7AWw_6E93bSpXj_XxVv1oVQctk-B6z1dNEWU/edit?usp=share_link"",""สงขลา!J706"")+IMPORTRANGE(""https://docs.google.com/spreadsheets/d/16cywr71Fj4fA5OGRHsZh30ZG2gwJhMAQv69oVBzYHv0/edit?usp=share_link"",""สตูล!J706"")+IMP"&amp;"ORTRANGE(""https://docs.google.com/spreadsheets/d/1vO9Sws6kMtrVtyvrAJptINXjK8TFBoX9xLYOVK_C8bQ/edit?usp=share_link"",""สุราษฎร์ธานี!J706"")"),0)</f>
        <v>0</v>
      </c>
      <c r="K706" s="38"/>
      <c r="L706" s="38"/>
      <c r="M706" s="189"/>
      <c r="N706" s="765"/>
      <c r="O706" s="38"/>
      <c r="P706" s="3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20.25" customHeight="1">
      <c r="A707" s="743"/>
      <c r="B707" s="575"/>
      <c r="C707" s="575"/>
      <c r="D707" s="575"/>
      <c r="E707" s="575"/>
      <c r="F707" s="575"/>
      <c r="G707" s="189"/>
      <c r="H707" s="182" t="s">
        <v>46</v>
      </c>
      <c r="I707" s="764">
        <f ca="1">IFERROR(__xludf.DUMMYFUNCTION("IMPORTRANGE(""https://docs.google.com/spreadsheets/d/1kC41EOXpGBFOW658Fs3oD8beYlym0-zO54WY-2Qnp9I/edit?usp=share_link"",""กระบี่!I707"")
+IMPORTRANGE(""https://docs.google.com/spreadsheets/d/1FbzMZY_f3MDiEuK7RpCQKrilJ_kpX0Wm7QBZ1L7EjIU/edit?usp=share_link"&amp;""",""ชุมพร!I707"")+IMPORTRANGE(""https://docs.google.com/spreadsheets/d/1v5sN-00LrXuhBxw4dkh2GrG_z4l5oAqOdJRBCsUyMaM/edit?usp=share_link"",""ตรัง!I707"")+IMPORTRANGE(""https://docs.google.com/spreadsheets/d/1T5rRTzFc79aSIvqnzkZNvwPstq829QYz_xALlO1Z0s8/edi"&amp;"t?usp=share_link"",""นครศรีธรรมราช!I707"")+IMPORTRANGE(""https://docs.google.com/spreadsheets/d/1BeghqumK0IvCmRd2QOy6_afsZq7ZtAGrSnVJy2u7WmY/edit?usp=share_link"",""นราธิวาส!I707"")+IMPORTRANGE(""https://docs.google.com/spreadsheets/d/1IwnW3-jjRf74MCLW-6P"&amp;"iFwMUffRQXZwZA7YM609NmRc/edit?usp=share_link"",""ปัตตานี!I707"")+IMPORTRANGE(""https://docs.google.com/spreadsheets/d/1vl4QWbWdFruual5o_wdo6ZSqXZ_it806oja4CctTLKs/edit?usp=share_link"",""พังงา!I707"")+IMPORTRANGE(""https://docs.google.com/spreadsheets/d/1"&amp;"b6QssHQp2FoAPSMKHOy273KNzAomaIKhtdlvuZ_zDNE/edit?usp=share_link"",""พัทลุง!I707"")+IMPORTRANGE(""https://docs.google.com/spreadsheets/d/1o7UZe4_OqlqtLDHrj01Z2YFRSZDf1DMy1n3XViHaxRc/edit?usp=share_link"",""ภูเก็ต!I707"")+IMPORTRANGE(""https://docs.google.c"&amp;"om/spreadsheets/d/1ctPm1vUzcUCPuOj9-eoHUD85PqINFqUB0TjdSWmR5-c/edit?usp=share_link"",""ยะลา!I707"")+IMPORTRANGE(""https://docs.google.com/spreadsheets/d/1YiDIE7Klmt8osgdapRqYWNr7iPGFSsiJqq46S7PYRE0/edit?usp=share_link"",""ระนอง!I707"")+IMPORTRANGE(""https"&amp;"://docs.google.com/spreadsheets/d/16o_4B-V7AWw_6E93bSpXj_XxVv1oVQctk-B6z1dNEWU/edit?usp=share_link"",""สงขลา!I707"")+IMPORTRANGE(""https://docs.google.com/spreadsheets/d/16cywr71Fj4fA5OGRHsZh30ZG2gwJhMAQv69oVBzYHv0/edit?usp=share_link"",""สตูล!I707"")+IMP"&amp;"ORTRANGE(""https://docs.google.com/spreadsheets/d/1vO9Sws6kMtrVtyvrAJptINXjK8TFBoX9xLYOVK_C8bQ/edit?usp=share_link"",""สุราษฎร์ธานี!I707"")"),50)</f>
        <v>50</v>
      </c>
      <c r="J707" s="183">
        <f ca="1">IFERROR(__xludf.DUMMYFUNCTION("IMPORTRANGE(""https://docs.google.com/spreadsheets/d/1kC41EOXpGBFOW658Fs3oD8beYlym0-zO54WY-2Qnp9I/edit?usp=share_link"",""กระบี่!J707"")
+IMPORTRANGE(""https://docs.google.com/spreadsheets/d/1FbzMZY_f3MDiEuK7RpCQKrilJ_kpX0Wm7QBZ1L7EjIU/edit?usp=share_link"&amp;""",""ชุมพร!J707"")+IMPORTRANGE(""https://docs.google.com/spreadsheets/d/1v5sN-00LrXuhBxw4dkh2GrG_z4l5oAqOdJRBCsUyMaM/edit?usp=share_link"",""ตรัง!J707"")+IMPORTRANGE(""https://docs.google.com/spreadsheets/d/1T5rRTzFc79aSIvqnzkZNvwPstq829QYz_xALlO1Z0s8/edi"&amp;"t?usp=share_link"",""นครศรีธรรมราช!J707"")+IMPORTRANGE(""https://docs.google.com/spreadsheets/d/1BeghqumK0IvCmRd2QOy6_afsZq7ZtAGrSnVJy2u7WmY/edit?usp=share_link"",""นราธิวาส!J707"")+IMPORTRANGE(""https://docs.google.com/spreadsheets/d/1IwnW3-jjRf74MCLW-6P"&amp;"iFwMUffRQXZwZA7YM609NmRc/edit?usp=share_link"",""ปัตตานี!J707"")+IMPORTRANGE(""https://docs.google.com/spreadsheets/d/1vl4QWbWdFruual5o_wdo6ZSqXZ_it806oja4CctTLKs/edit?usp=share_link"",""พังงา!J707"")+IMPORTRANGE(""https://docs.google.com/spreadsheets/d/1"&amp;"b6QssHQp2FoAPSMKHOy273KNzAomaIKhtdlvuZ_zDNE/edit?usp=share_link"",""พัทลุง!J707"")+IMPORTRANGE(""https://docs.google.com/spreadsheets/d/1o7UZe4_OqlqtLDHrj01Z2YFRSZDf1DMy1n3XViHaxRc/edit?usp=share_link"",""ภูเก็ต!J707"")+IMPORTRANGE(""https://docs.google.c"&amp;"om/spreadsheets/d/1ctPm1vUzcUCPuOj9-eoHUD85PqINFqUB0TjdSWmR5-c/edit?usp=share_link"",""ยะลา!J707"")+IMPORTRANGE(""https://docs.google.com/spreadsheets/d/1YiDIE7Klmt8osgdapRqYWNr7iPGFSsiJqq46S7PYRE0/edit?usp=share_link"",""ระนอง!J707"")+IMPORTRANGE(""https"&amp;"://docs.google.com/spreadsheets/d/16o_4B-V7AWw_6E93bSpXj_XxVv1oVQctk-B6z1dNEWU/edit?usp=share_link"",""สงขลา!J707"")+IMPORTRANGE(""https://docs.google.com/spreadsheets/d/16cywr71Fj4fA5OGRHsZh30ZG2gwJhMAQv69oVBzYHv0/edit?usp=share_link"",""สตูล!J707"")+IMP"&amp;"ORTRANGE(""https://docs.google.com/spreadsheets/d/1vO9Sws6kMtrVtyvrAJptINXjK8TFBoX9xLYOVK_C8bQ/edit?usp=share_link"",""สุราษฎร์ธานี!J707"")"),0)</f>
        <v>0</v>
      </c>
      <c r="K707" s="38"/>
      <c r="L707" s="38"/>
      <c r="M707" s="189"/>
      <c r="N707" s="765"/>
      <c r="O707" s="38"/>
      <c r="P707" s="3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20.25" customHeight="1">
      <c r="A708" s="743"/>
      <c r="B708" s="575"/>
      <c r="C708" s="575"/>
      <c r="D708" s="768" t="s">
        <v>300</v>
      </c>
      <c r="E708" s="575"/>
      <c r="F708" s="575"/>
      <c r="G708" s="189"/>
      <c r="H708" s="192" t="s">
        <v>46</v>
      </c>
      <c r="I708" s="767">
        <f ca="1">IFERROR(__xludf.DUMMYFUNCTION("IMPORTRANGE(""https://docs.google.com/spreadsheets/d/1kC41EOXpGBFOW658Fs3oD8beYlym0-zO54WY-2Qnp9I/edit?usp=share_link"",""กระบี่!I708"")
+IMPORTRANGE(""https://docs.google.com/spreadsheets/d/1FbzMZY_f3MDiEuK7RpCQKrilJ_kpX0Wm7QBZ1L7EjIU/edit?usp=share_link"&amp;""",""ชุมพร!I708"")+IMPORTRANGE(""https://docs.google.com/spreadsheets/d/1v5sN-00LrXuhBxw4dkh2GrG_z4l5oAqOdJRBCsUyMaM/edit?usp=share_link"",""ตรัง!I708"")+IMPORTRANGE(""https://docs.google.com/spreadsheets/d/1T5rRTzFc79aSIvqnzkZNvwPstq829QYz_xALlO1Z0s8/edi"&amp;"t?usp=share_link"",""นครศรีธรรมราช!I708"")+IMPORTRANGE(""https://docs.google.com/spreadsheets/d/1BeghqumK0IvCmRd2QOy6_afsZq7ZtAGrSnVJy2u7WmY/edit?usp=share_link"",""นราธิวาส!I708"")+IMPORTRANGE(""https://docs.google.com/spreadsheets/d/1IwnW3-jjRf74MCLW-6P"&amp;"iFwMUffRQXZwZA7YM609NmRc/edit?usp=share_link"",""ปัตตานี!I708"")+IMPORTRANGE(""https://docs.google.com/spreadsheets/d/1vl4QWbWdFruual5o_wdo6ZSqXZ_it806oja4CctTLKs/edit?usp=share_link"",""พังงา!I708"")+IMPORTRANGE(""https://docs.google.com/spreadsheets/d/1"&amp;"b6QssHQp2FoAPSMKHOy273KNzAomaIKhtdlvuZ_zDNE/edit?usp=share_link"",""พัทลุง!I708"")+IMPORTRANGE(""https://docs.google.com/spreadsheets/d/1o7UZe4_OqlqtLDHrj01Z2YFRSZDf1DMy1n3XViHaxRc/edit?usp=share_link"",""ภูเก็ต!I708"")+IMPORTRANGE(""https://docs.google.c"&amp;"om/spreadsheets/d/1ctPm1vUzcUCPuOj9-eoHUD85PqINFqUB0TjdSWmR5-c/edit?usp=share_link"",""ยะลา!I708"")+IMPORTRANGE(""https://docs.google.com/spreadsheets/d/1YiDIE7Klmt8osgdapRqYWNr7iPGFSsiJqq46S7PYRE0/edit?usp=share_link"",""ระนอง!I708"")+IMPORTRANGE(""https"&amp;"://docs.google.com/spreadsheets/d/16o_4B-V7AWw_6E93bSpXj_XxVv1oVQctk-B6z1dNEWU/edit?usp=share_link"",""สงขลา!I708"")+IMPORTRANGE(""https://docs.google.com/spreadsheets/d/16cywr71Fj4fA5OGRHsZh30ZG2gwJhMAQv69oVBzYHv0/edit?usp=share_link"",""สตูล!I708"")+IMP"&amp;"ORTRANGE(""https://docs.google.com/spreadsheets/d/1vO9Sws6kMtrVtyvrAJptINXjK8TFBoX9xLYOVK_C8bQ/edit?usp=share_link"",""สุราษฎร์ธานี!I708"")"),0)</f>
        <v>0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65"/>
      <c r="O708" s="38"/>
      <c r="P708" s="3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20.25" customHeight="1">
      <c r="A709" s="743"/>
      <c r="B709" s="575"/>
      <c r="C709" s="575"/>
      <c r="D709" s="575"/>
      <c r="E709" s="576" t="s">
        <v>301</v>
      </c>
      <c r="F709" s="575"/>
      <c r="G709" s="189"/>
      <c r="H709" s="182" t="s">
        <v>34</v>
      </c>
      <c r="I709" s="764"/>
      <c r="J709" s="183">
        <f ca="1">IFERROR(__xludf.DUMMYFUNCTION("IMPORTRANGE(""https://docs.google.com/spreadsheets/d/1kC41EOXpGBFOW658Fs3oD8beYlym0-zO54WY-2Qnp9I/edit?usp=share_link"",""กระบี่!J709"")
+IMPORTRANGE(""https://docs.google.com/spreadsheets/d/1FbzMZY_f3MDiEuK7RpCQKrilJ_kpX0Wm7QBZ1L7EjIU/edit?usp=share_link"&amp;""",""ชุมพร!J709"")+IMPORTRANGE(""https://docs.google.com/spreadsheets/d/1v5sN-00LrXuhBxw4dkh2GrG_z4l5oAqOdJRBCsUyMaM/edit?usp=share_link"",""ตรัง!J709"")+IMPORTRANGE(""https://docs.google.com/spreadsheets/d/1T5rRTzFc79aSIvqnzkZNvwPstq829QYz_xALlO1Z0s8/edi"&amp;"t?usp=share_link"",""นครศรีธรรมราช!J709"")+IMPORTRANGE(""https://docs.google.com/spreadsheets/d/1BeghqumK0IvCmRd2QOy6_afsZq7ZtAGrSnVJy2u7WmY/edit?usp=share_link"",""นราธิวาส!J709"")+IMPORTRANGE(""https://docs.google.com/spreadsheets/d/1IwnW3-jjRf74MCLW-6P"&amp;"iFwMUffRQXZwZA7YM609NmRc/edit?usp=share_link"",""ปัตตานี!J709"")+IMPORTRANGE(""https://docs.google.com/spreadsheets/d/1vl4QWbWdFruual5o_wdo6ZSqXZ_it806oja4CctTLKs/edit?usp=share_link"",""พังงา!J709"")+IMPORTRANGE(""https://docs.google.com/spreadsheets/d/1"&amp;"b6QssHQp2FoAPSMKHOy273KNzAomaIKhtdlvuZ_zDNE/edit?usp=share_link"",""พัทลุง!J709"")+IMPORTRANGE(""https://docs.google.com/spreadsheets/d/1o7UZe4_OqlqtLDHrj01Z2YFRSZDf1DMy1n3XViHaxRc/edit?usp=share_link"",""ภูเก็ต!J709"")+IMPORTRANGE(""https://docs.google.c"&amp;"om/spreadsheets/d/1ctPm1vUzcUCPuOj9-eoHUD85PqINFqUB0TjdSWmR5-c/edit?usp=share_link"",""ยะลา!J709"")+IMPORTRANGE(""https://docs.google.com/spreadsheets/d/1YiDIE7Klmt8osgdapRqYWNr7iPGFSsiJqq46S7PYRE0/edit?usp=share_link"",""ระนอง!J709"")+IMPORTRANGE(""https"&amp;"://docs.google.com/spreadsheets/d/16o_4B-V7AWw_6E93bSpXj_XxVv1oVQctk-B6z1dNEWU/edit?usp=share_link"",""สงขลา!J709"")+IMPORTRANGE(""https://docs.google.com/spreadsheets/d/16cywr71Fj4fA5OGRHsZh30ZG2gwJhMAQv69oVBzYHv0/edit?usp=share_link"",""สตูล!J709"")+IMP"&amp;"ORTRANGE(""https://docs.google.com/spreadsheets/d/1vO9Sws6kMtrVtyvrAJptINXjK8TFBoX9xLYOVK_C8bQ/edit?usp=share_link"",""สุราษฎร์ธานี!J709"")"),0)</f>
        <v>0</v>
      </c>
      <c r="K709" s="38"/>
      <c r="L709" s="765"/>
      <c r="M709" s="189"/>
      <c r="N709" s="765"/>
      <c r="O709" s="38"/>
      <c r="P709" s="3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20.25" customHeight="1">
      <c r="A710" s="743"/>
      <c r="B710" s="575"/>
      <c r="C710" s="575"/>
      <c r="D710" s="575"/>
      <c r="E710" s="575"/>
      <c r="F710" s="575"/>
      <c r="G710" s="189"/>
      <c r="H710" s="182" t="s">
        <v>46</v>
      </c>
      <c r="I710" s="764"/>
      <c r="J710" s="183">
        <f ca="1">IFERROR(__xludf.DUMMYFUNCTION("IMPORTRANGE(""https://docs.google.com/spreadsheets/d/1kC41EOXpGBFOW658Fs3oD8beYlym0-zO54WY-2Qnp9I/edit?usp=share_link"",""กระบี่!J710"")
+IMPORTRANGE(""https://docs.google.com/spreadsheets/d/1FbzMZY_f3MDiEuK7RpCQKrilJ_kpX0Wm7QBZ1L7EjIU/edit?usp=share_link"&amp;""",""ชุมพร!J710"")+IMPORTRANGE(""https://docs.google.com/spreadsheets/d/1v5sN-00LrXuhBxw4dkh2GrG_z4l5oAqOdJRBCsUyMaM/edit?usp=share_link"",""ตรัง!J710"")+IMPORTRANGE(""https://docs.google.com/spreadsheets/d/1T5rRTzFc79aSIvqnzkZNvwPstq829QYz_xALlO1Z0s8/edi"&amp;"t?usp=share_link"",""นครศรีธรรมราช!J710"")+IMPORTRANGE(""https://docs.google.com/spreadsheets/d/1BeghqumK0IvCmRd2QOy6_afsZq7ZtAGrSnVJy2u7WmY/edit?usp=share_link"",""นราธิวาส!J710"")+IMPORTRANGE(""https://docs.google.com/spreadsheets/d/1IwnW3-jjRf74MCLW-6P"&amp;"iFwMUffRQXZwZA7YM609NmRc/edit?usp=share_link"",""ปัตตานี!J710"")+IMPORTRANGE(""https://docs.google.com/spreadsheets/d/1vl4QWbWdFruual5o_wdo6ZSqXZ_it806oja4CctTLKs/edit?usp=share_link"",""พังงา!J710"")+IMPORTRANGE(""https://docs.google.com/spreadsheets/d/1"&amp;"b6QssHQp2FoAPSMKHOy273KNzAomaIKhtdlvuZ_zDNE/edit?usp=share_link"",""พัทลุง!J710"")+IMPORTRANGE(""https://docs.google.com/spreadsheets/d/1o7UZe4_OqlqtLDHrj01Z2YFRSZDf1DMy1n3XViHaxRc/edit?usp=share_link"",""ภูเก็ต!J710"")+IMPORTRANGE(""https://docs.google.c"&amp;"om/spreadsheets/d/1ctPm1vUzcUCPuOj9-eoHUD85PqINFqUB0TjdSWmR5-c/edit?usp=share_link"",""ยะลา!J710"")+IMPORTRANGE(""https://docs.google.com/spreadsheets/d/1YiDIE7Klmt8osgdapRqYWNr7iPGFSsiJqq46S7PYRE0/edit?usp=share_link"",""ระนอง!J710"")+IMPORTRANGE(""https"&amp;"://docs.google.com/spreadsheets/d/16o_4B-V7AWw_6E93bSpXj_XxVv1oVQctk-B6z1dNEWU/edit?usp=share_link"",""สงขลา!J710"")+IMPORTRANGE(""https://docs.google.com/spreadsheets/d/16cywr71Fj4fA5OGRHsZh30ZG2gwJhMAQv69oVBzYHv0/edit?usp=share_link"",""สตูล!J710"")+IMP"&amp;"ORTRANGE(""https://docs.google.com/spreadsheets/d/1vO9Sws6kMtrVtyvrAJptINXjK8TFBoX9xLYOVK_C8bQ/edit?usp=share_link"",""สุราษฎร์ธานี!J710"")"),0)</f>
        <v>0</v>
      </c>
      <c r="K710" s="38"/>
      <c r="L710" s="765"/>
      <c r="M710" s="189"/>
      <c r="N710" s="765"/>
      <c r="O710" s="38"/>
      <c r="P710" s="3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20.25" customHeight="1">
      <c r="A711" s="743"/>
      <c r="B711" s="575"/>
      <c r="C711" s="575"/>
      <c r="D711" s="575"/>
      <c r="E711" s="576" t="s">
        <v>302</v>
      </c>
      <c r="F711" s="575"/>
      <c r="G711" s="189"/>
      <c r="H711" s="175"/>
      <c r="I711" s="764"/>
      <c r="J711" s="37"/>
      <c r="K711" s="38"/>
      <c r="L711" s="765"/>
      <c r="M711" s="189"/>
      <c r="N711" s="765"/>
      <c r="O711" s="38"/>
      <c r="P711" s="3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20.25" customHeight="1">
      <c r="A712" s="743"/>
      <c r="B712" s="575"/>
      <c r="C712" s="575"/>
      <c r="D712" s="575"/>
      <c r="E712" s="575"/>
      <c r="F712" s="576" t="s">
        <v>303</v>
      </c>
      <c r="G712" s="189"/>
      <c r="H712" s="182" t="s">
        <v>35</v>
      </c>
      <c r="I712" s="764"/>
      <c r="J712" s="183">
        <f ca="1">IFERROR(__xludf.DUMMYFUNCTION("IMPORTRANGE(""https://docs.google.com/spreadsheets/d/1kC41EOXpGBFOW658Fs3oD8beYlym0-zO54WY-2Qnp9I/edit?usp=share_link"",""กระบี่!J712"")
+IMPORTRANGE(""https://docs.google.com/spreadsheets/d/1FbzMZY_f3MDiEuK7RpCQKrilJ_kpX0Wm7QBZ1L7EjIU/edit?usp=share_link"&amp;""",""ชุมพร!J712"")+IMPORTRANGE(""https://docs.google.com/spreadsheets/d/1v5sN-00LrXuhBxw4dkh2GrG_z4l5oAqOdJRBCsUyMaM/edit?usp=share_link"",""ตรัง!J712"")+IMPORTRANGE(""https://docs.google.com/spreadsheets/d/1T5rRTzFc79aSIvqnzkZNvwPstq829QYz_xALlO1Z0s8/edi"&amp;"t?usp=share_link"",""นครศรีธรรมราช!J712"")+IMPORTRANGE(""https://docs.google.com/spreadsheets/d/1BeghqumK0IvCmRd2QOy6_afsZq7ZtAGrSnVJy2u7WmY/edit?usp=share_link"",""นราธิวาส!J712"")+IMPORTRANGE(""https://docs.google.com/spreadsheets/d/1IwnW3-jjRf74MCLW-6P"&amp;"iFwMUffRQXZwZA7YM609NmRc/edit?usp=share_link"",""ปัตตานี!J712"")+IMPORTRANGE(""https://docs.google.com/spreadsheets/d/1vl4QWbWdFruual5o_wdo6ZSqXZ_it806oja4CctTLKs/edit?usp=share_link"",""พังงา!J712"")+IMPORTRANGE(""https://docs.google.com/spreadsheets/d/1"&amp;"b6QssHQp2FoAPSMKHOy273KNzAomaIKhtdlvuZ_zDNE/edit?usp=share_link"",""พัทลุง!J712"")+IMPORTRANGE(""https://docs.google.com/spreadsheets/d/1o7UZe4_OqlqtLDHrj01Z2YFRSZDf1DMy1n3XViHaxRc/edit?usp=share_link"",""ภูเก็ต!J712"")+IMPORTRANGE(""https://docs.google.c"&amp;"om/spreadsheets/d/1ctPm1vUzcUCPuOj9-eoHUD85PqINFqUB0TjdSWmR5-c/edit?usp=share_link"",""ยะลา!J712"")+IMPORTRANGE(""https://docs.google.com/spreadsheets/d/1YiDIE7Klmt8osgdapRqYWNr7iPGFSsiJqq46S7PYRE0/edit?usp=share_link"",""ระนอง!J712"")+IMPORTRANGE(""https"&amp;"://docs.google.com/spreadsheets/d/16o_4B-V7AWw_6E93bSpXj_XxVv1oVQctk-B6z1dNEWU/edit?usp=share_link"",""สงขลา!J712"")+IMPORTRANGE(""https://docs.google.com/spreadsheets/d/16cywr71Fj4fA5OGRHsZh30ZG2gwJhMAQv69oVBzYHv0/edit?usp=share_link"",""สตูล!J712"")+IMP"&amp;"ORTRANGE(""https://docs.google.com/spreadsheets/d/1vO9Sws6kMtrVtyvrAJptINXjK8TFBoX9xLYOVK_C8bQ/edit?usp=share_link"",""สุราษฎร์ธานี!J712"")"),0)</f>
        <v>0</v>
      </c>
      <c r="K712" s="38"/>
      <c r="L712" s="765"/>
      <c r="M712" s="189"/>
      <c r="N712" s="765"/>
      <c r="O712" s="38"/>
      <c r="P712" s="3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20.25" customHeight="1">
      <c r="A713" s="743"/>
      <c r="B713" s="575"/>
      <c r="C713" s="575"/>
      <c r="D713" s="575"/>
      <c r="E713" s="575"/>
      <c r="F713" s="575"/>
      <c r="G713" s="189"/>
      <c r="H713" s="182" t="s">
        <v>34</v>
      </c>
      <c r="I713" s="764"/>
      <c r="J713" s="183">
        <f ca="1">IFERROR(__xludf.DUMMYFUNCTION("IMPORTRANGE(""https://docs.google.com/spreadsheets/d/1kC41EOXpGBFOW658Fs3oD8beYlym0-zO54WY-2Qnp9I/edit?usp=share_link"",""กระบี่!J713"")
+IMPORTRANGE(""https://docs.google.com/spreadsheets/d/1FbzMZY_f3MDiEuK7RpCQKrilJ_kpX0Wm7QBZ1L7EjIU/edit?usp=share_link"&amp;""",""ชุมพร!J713"")+IMPORTRANGE(""https://docs.google.com/spreadsheets/d/1v5sN-00LrXuhBxw4dkh2GrG_z4l5oAqOdJRBCsUyMaM/edit?usp=share_link"",""ตรัง!J713"")+IMPORTRANGE(""https://docs.google.com/spreadsheets/d/1T5rRTzFc79aSIvqnzkZNvwPstq829QYz_xALlO1Z0s8/edi"&amp;"t?usp=share_link"",""นครศรีธรรมราช!J713"")+IMPORTRANGE(""https://docs.google.com/spreadsheets/d/1BeghqumK0IvCmRd2QOy6_afsZq7ZtAGrSnVJy2u7WmY/edit?usp=share_link"",""นราธิวาส!J713"")+IMPORTRANGE(""https://docs.google.com/spreadsheets/d/1IwnW3-jjRf74MCLW-6P"&amp;"iFwMUffRQXZwZA7YM609NmRc/edit?usp=share_link"",""ปัตตานี!J713"")+IMPORTRANGE(""https://docs.google.com/spreadsheets/d/1vl4QWbWdFruual5o_wdo6ZSqXZ_it806oja4CctTLKs/edit?usp=share_link"",""พังงา!J713"")+IMPORTRANGE(""https://docs.google.com/spreadsheets/d/1"&amp;"b6QssHQp2FoAPSMKHOy273KNzAomaIKhtdlvuZ_zDNE/edit?usp=share_link"",""พัทลุง!J713"")+IMPORTRANGE(""https://docs.google.com/spreadsheets/d/1o7UZe4_OqlqtLDHrj01Z2YFRSZDf1DMy1n3XViHaxRc/edit?usp=share_link"",""ภูเก็ต!J713"")+IMPORTRANGE(""https://docs.google.c"&amp;"om/spreadsheets/d/1ctPm1vUzcUCPuOj9-eoHUD85PqINFqUB0TjdSWmR5-c/edit?usp=share_link"",""ยะลา!J713"")+IMPORTRANGE(""https://docs.google.com/spreadsheets/d/1YiDIE7Klmt8osgdapRqYWNr7iPGFSsiJqq46S7PYRE0/edit?usp=share_link"",""ระนอง!J713"")+IMPORTRANGE(""https"&amp;"://docs.google.com/spreadsheets/d/16o_4B-V7AWw_6E93bSpXj_XxVv1oVQctk-B6z1dNEWU/edit?usp=share_link"",""สงขลา!J713"")+IMPORTRANGE(""https://docs.google.com/spreadsheets/d/16cywr71Fj4fA5OGRHsZh30ZG2gwJhMAQv69oVBzYHv0/edit?usp=share_link"",""สตูล!J713"")+IMP"&amp;"ORTRANGE(""https://docs.google.com/spreadsheets/d/1vO9Sws6kMtrVtyvrAJptINXjK8TFBoX9xLYOVK_C8bQ/edit?usp=share_link"",""สุราษฎร์ธานี!J713"")"),0)</f>
        <v>0</v>
      </c>
      <c r="K713" s="38"/>
      <c r="L713" s="765"/>
      <c r="M713" s="189"/>
      <c r="N713" s="765"/>
      <c r="O713" s="38"/>
      <c r="P713" s="3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20.25" customHeight="1">
      <c r="A714" s="743"/>
      <c r="B714" s="575"/>
      <c r="C714" s="575"/>
      <c r="D714" s="575"/>
      <c r="E714" s="575"/>
      <c r="F714" s="575"/>
      <c r="G714" s="189"/>
      <c r="H714" s="182" t="s">
        <v>46</v>
      </c>
      <c r="I714" s="764"/>
      <c r="J714" s="183">
        <f ca="1">IFERROR(__xludf.DUMMYFUNCTION("IMPORTRANGE(""https://docs.google.com/spreadsheets/d/1kC41EOXpGBFOW658Fs3oD8beYlym0-zO54WY-2Qnp9I/edit?usp=share_link"",""กระบี่!J714"")
+IMPORTRANGE(""https://docs.google.com/spreadsheets/d/1FbzMZY_f3MDiEuK7RpCQKrilJ_kpX0Wm7QBZ1L7EjIU/edit?usp=share_link"&amp;""",""ชุมพร!J714"")+IMPORTRANGE(""https://docs.google.com/spreadsheets/d/1v5sN-00LrXuhBxw4dkh2GrG_z4l5oAqOdJRBCsUyMaM/edit?usp=share_link"",""ตรัง!J714"")+IMPORTRANGE(""https://docs.google.com/spreadsheets/d/1T5rRTzFc79aSIvqnzkZNvwPstq829QYz_xALlO1Z0s8/edi"&amp;"t?usp=share_link"",""นครศรีธรรมราช!J714"")+IMPORTRANGE(""https://docs.google.com/spreadsheets/d/1BeghqumK0IvCmRd2QOy6_afsZq7ZtAGrSnVJy2u7WmY/edit?usp=share_link"",""นราธิวาส!J714"")+IMPORTRANGE(""https://docs.google.com/spreadsheets/d/1IwnW3-jjRf74MCLW-6P"&amp;"iFwMUffRQXZwZA7YM609NmRc/edit?usp=share_link"",""ปัตตานี!J714"")+IMPORTRANGE(""https://docs.google.com/spreadsheets/d/1vl4QWbWdFruual5o_wdo6ZSqXZ_it806oja4CctTLKs/edit?usp=share_link"",""พังงา!J714"")+IMPORTRANGE(""https://docs.google.com/spreadsheets/d/1"&amp;"b6QssHQp2FoAPSMKHOy273KNzAomaIKhtdlvuZ_zDNE/edit?usp=share_link"",""พัทลุง!J714"")+IMPORTRANGE(""https://docs.google.com/spreadsheets/d/1o7UZe4_OqlqtLDHrj01Z2YFRSZDf1DMy1n3XViHaxRc/edit?usp=share_link"",""ภูเก็ต!J714"")+IMPORTRANGE(""https://docs.google.c"&amp;"om/spreadsheets/d/1ctPm1vUzcUCPuOj9-eoHUD85PqINFqUB0TjdSWmR5-c/edit?usp=share_link"",""ยะลา!J714"")+IMPORTRANGE(""https://docs.google.com/spreadsheets/d/1YiDIE7Klmt8osgdapRqYWNr7iPGFSsiJqq46S7PYRE0/edit?usp=share_link"",""ระนอง!J714"")+IMPORTRANGE(""https"&amp;"://docs.google.com/spreadsheets/d/16o_4B-V7AWw_6E93bSpXj_XxVv1oVQctk-B6z1dNEWU/edit?usp=share_link"",""สงขลา!J714"")+IMPORTRANGE(""https://docs.google.com/spreadsheets/d/16cywr71Fj4fA5OGRHsZh30ZG2gwJhMAQv69oVBzYHv0/edit?usp=share_link"",""สตูล!J714"")+IMP"&amp;"ORTRANGE(""https://docs.google.com/spreadsheets/d/1vO9Sws6kMtrVtyvrAJptINXjK8TFBoX9xLYOVK_C8bQ/edit?usp=share_link"",""สุราษฎร์ธานี!J714"")"),0)</f>
        <v>0</v>
      </c>
      <c r="K714" s="38"/>
      <c r="L714" s="765"/>
      <c r="M714" s="189"/>
      <c r="N714" s="765"/>
      <c r="O714" s="38"/>
      <c r="P714" s="3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20.25" customHeight="1">
      <c r="A715" s="743"/>
      <c r="B715" s="575"/>
      <c r="C715" s="575"/>
      <c r="D715" s="575"/>
      <c r="E715" s="575"/>
      <c r="F715" s="576" t="s">
        <v>304</v>
      </c>
      <c r="G715" s="189"/>
      <c r="H715" s="182" t="s">
        <v>35</v>
      </c>
      <c r="I715" s="764"/>
      <c r="J715" s="183">
        <f ca="1">IFERROR(__xludf.DUMMYFUNCTION("IMPORTRANGE(""https://docs.google.com/spreadsheets/d/1kC41EOXpGBFOW658Fs3oD8beYlym0-zO54WY-2Qnp9I/edit?usp=share_link"",""กระบี่!J715"")
+IMPORTRANGE(""https://docs.google.com/spreadsheets/d/1FbzMZY_f3MDiEuK7RpCQKrilJ_kpX0Wm7QBZ1L7EjIU/edit?usp=share_link"&amp;""",""ชุมพร!J715"")+IMPORTRANGE(""https://docs.google.com/spreadsheets/d/1v5sN-00LrXuhBxw4dkh2GrG_z4l5oAqOdJRBCsUyMaM/edit?usp=share_link"",""ตรัง!J715"")+IMPORTRANGE(""https://docs.google.com/spreadsheets/d/1T5rRTzFc79aSIvqnzkZNvwPstq829QYz_xALlO1Z0s8/edi"&amp;"t?usp=share_link"",""นครศรีธรรมราช!J715"")+IMPORTRANGE(""https://docs.google.com/spreadsheets/d/1BeghqumK0IvCmRd2QOy6_afsZq7ZtAGrSnVJy2u7WmY/edit?usp=share_link"",""นราธิวาส!J715"")+IMPORTRANGE(""https://docs.google.com/spreadsheets/d/1IwnW3-jjRf74MCLW-6P"&amp;"iFwMUffRQXZwZA7YM609NmRc/edit?usp=share_link"",""ปัตตานี!J715"")+IMPORTRANGE(""https://docs.google.com/spreadsheets/d/1vl4QWbWdFruual5o_wdo6ZSqXZ_it806oja4CctTLKs/edit?usp=share_link"",""พังงา!J715"")+IMPORTRANGE(""https://docs.google.com/spreadsheets/d/1"&amp;"b6QssHQp2FoAPSMKHOy273KNzAomaIKhtdlvuZ_zDNE/edit?usp=share_link"",""พัทลุง!J715"")+IMPORTRANGE(""https://docs.google.com/spreadsheets/d/1o7UZe4_OqlqtLDHrj01Z2YFRSZDf1DMy1n3XViHaxRc/edit?usp=share_link"",""ภูเก็ต!J715"")+IMPORTRANGE(""https://docs.google.c"&amp;"om/spreadsheets/d/1ctPm1vUzcUCPuOj9-eoHUD85PqINFqUB0TjdSWmR5-c/edit?usp=share_link"",""ยะลา!J715"")+IMPORTRANGE(""https://docs.google.com/spreadsheets/d/1YiDIE7Klmt8osgdapRqYWNr7iPGFSsiJqq46S7PYRE0/edit?usp=share_link"",""ระนอง!J715"")+IMPORTRANGE(""https"&amp;"://docs.google.com/spreadsheets/d/16o_4B-V7AWw_6E93bSpXj_XxVv1oVQctk-B6z1dNEWU/edit?usp=share_link"",""สงขลา!J715"")+IMPORTRANGE(""https://docs.google.com/spreadsheets/d/16cywr71Fj4fA5OGRHsZh30ZG2gwJhMAQv69oVBzYHv0/edit?usp=share_link"",""สตูล!J715"")+IMP"&amp;"ORTRANGE(""https://docs.google.com/spreadsheets/d/1vO9Sws6kMtrVtyvrAJptINXjK8TFBoX9xLYOVK_C8bQ/edit?usp=share_link"",""สุราษฎร์ธานี!J715"")"),0)</f>
        <v>0</v>
      </c>
      <c r="K715" s="38"/>
      <c r="L715" s="765"/>
      <c r="M715" s="189"/>
      <c r="N715" s="765"/>
      <c r="O715" s="38"/>
      <c r="P715" s="3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20.25" customHeight="1">
      <c r="A716" s="743"/>
      <c r="B716" s="575"/>
      <c r="C716" s="575"/>
      <c r="D716" s="575"/>
      <c r="E716" s="575"/>
      <c r="F716" s="575"/>
      <c r="G716" s="189"/>
      <c r="H716" s="182" t="s">
        <v>34</v>
      </c>
      <c r="I716" s="764"/>
      <c r="J716" s="183">
        <f ca="1">IFERROR(__xludf.DUMMYFUNCTION("IMPORTRANGE(""https://docs.google.com/spreadsheets/d/1kC41EOXpGBFOW658Fs3oD8beYlym0-zO54WY-2Qnp9I/edit?usp=share_link"",""กระบี่!J716"")
+IMPORTRANGE(""https://docs.google.com/spreadsheets/d/1FbzMZY_f3MDiEuK7RpCQKrilJ_kpX0Wm7QBZ1L7EjIU/edit?usp=share_link"&amp;""",""ชุมพร!J716"")+IMPORTRANGE(""https://docs.google.com/spreadsheets/d/1v5sN-00LrXuhBxw4dkh2GrG_z4l5oAqOdJRBCsUyMaM/edit?usp=share_link"",""ตรัง!J716"")+IMPORTRANGE(""https://docs.google.com/spreadsheets/d/1T5rRTzFc79aSIvqnzkZNvwPstq829QYz_xALlO1Z0s8/edi"&amp;"t?usp=share_link"",""นครศรีธรรมราช!J716"")+IMPORTRANGE(""https://docs.google.com/spreadsheets/d/1BeghqumK0IvCmRd2QOy6_afsZq7ZtAGrSnVJy2u7WmY/edit?usp=share_link"",""นราธิวาส!J716"")+IMPORTRANGE(""https://docs.google.com/spreadsheets/d/1IwnW3-jjRf74MCLW-6P"&amp;"iFwMUffRQXZwZA7YM609NmRc/edit?usp=share_link"",""ปัตตานี!J716"")+IMPORTRANGE(""https://docs.google.com/spreadsheets/d/1vl4QWbWdFruual5o_wdo6ZSqXZ_it806oja4CctTLKs/edit?usp=share_link"",""พังงา!J716"")+IMPORTRANGE(""https://docs.google.com/spreadsheets/d/1"&amp;"b6QssHQp2FoAPSMKHOy273KNzAomaIKhtdlvuZ_zDNE/edit?usp=share_link"",""พัทลุง!J716"")+IMPORTRANGE(""https://docs.google.com/spreadsheets/d/1o7UZe4_OqlqtLDHrj01Z2YFRSZDf1DMy1n3XViHaxRc/edit?usp=share_link"",""ภูเก็ต!J716"")+IMPORTRANGE(""https://docs.google.c"&amp;"om/spreadsheets/d/1ctPm1vUzcUCPuOj9-eoHUD85PqINFqUB0TjdSWmR5-c/edit?usp=share_link"",""ยะลา!J716"")+IMPORTRANGE(""https://docs.google.com/spreadsheets/d/1YiDIE7Klmt8osgdapRqYWNr7iPGFSsiJqq46S7PYRE0/edit?usp=share_link"",""ระนอง!J716"")+IMPORTRANGE(""https"&amp;"://docs.google.com/spreadsheets/d/16o_4B-V7AWw_6E93bSpXj_XxVv1oVQctk-B6z1dNEWU/edit?usp=share_link"",""สงขลา!J716"")+IMPORTRANGE(""https://docs.google.com/spreadsheets/d/16cywr71Fj4fA5OGRHsZh30ZG2gwJhMAQv69oVBzYHv0/edit?usp=share_link"",""สตูล!J716"")+IMP"&amp;"ORTRANGE(""https://docs.google.com/spreadsheets/d/1vO9Sws6kMtrVtyvrAJptINXjK8TFBoX9xLYOVK_C8bQ/edit?usp=share_link"",""สุราษฎร์ธานี!J716"")"),0)</f>
        <v>0</v>
      </c>
      <c r="K716" s="38"/>
      <c r="L716" s="765"/>
      <c r="M716" s="189"/>
      <c r="N716" s="765"/>
      <c r="O716" s="38"/>
      <c r="P716" s="3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20.25" customHeight="1">
      <c r="A717" s="743"/>
      <c r="B717" s="575"/>
      <c r="C717" s="575"/>
      <c r="D717" s="575"/>
      <c r="E717" s="575"/>
      <c r="F717" s="575"/>
      <c r="G717" s="189"/>
      <c r="H717" s="182" t="s">
        <v>46</v>
      </c>
      <c r="I717" s="764"/>
      <c r="J717" s="183">
        <f ca="1">IFERROR(__xludf.DUMMYFUNCTION("IMPORTRANGE(""https://docs.google.com/spreadsheets/d/1kC41EOXpGBFOW658Fs3oD8beYlym0-zO54WY-2Qnp9I/edit?usp=share_link"",""กระบี่!J717"")
+IMPORTRANGE(""https://docs.google.com/spreadsheets/d/1FbzMZY_f3MDiEuK7RpCQKrilJ_kpX0Wm7QBZ1L7EjIU/edit?usp=share_link"&amp;""",""ชุมพร!J717"")+IMPORTRANGE(""https://docs.google.com/spreadsheets/d/1v5sN-00LrXuhBxw4dkh2GrG_z4l5oAqOdJRBCsUyMaM/edit?usp=share_link"",""ตรัง!J717"")+IMPORTRANGE(""https://docs.google.com/spreadsheets/d/1T5rRTzFc79aSIvqnzkZNvwPstq829QYz_xALlO1Z0s8/edi"&amp;"t?usp=share_link"",""นครศรีธรรมราช!J717"")+IMPORTRANGE(""https://docs.google.com/spreadsheets/d/1BeghqumK0IvCmRd2QOy6_afsZq7ZtAGrSnVJy2u7WmY/edit?usp=share_link"",""นราธิวาส!J717"")+IMPORTRANGE(""https://docs.google.com/spreadsheets/d/1IwnW3-jjRf74MCLW-6P"&amp;"iFwMUffRQXZwZA7YM609NmRc/edit?usp=share_link"",""ปัตตานี!J717"")+IMPORTRANGE(""https://docs.google.com/spreadsheets/d/1vl4QWbWdFruual5o_wdo6ZSqXZ_it806oja4CctTLKs/edit?usp=share_link"",""พังงา!J717"")+IMPORTRANGE(""https://docs.google.com/spreadsheets/d/1"&amp;"b6QssHQp2FoAPSMKHOy273KNzAomaIKhtdlvuZ_zDNE/edit?usp=share_link"",""พัทลุง!J717"")+IMPORTRANGE(""https://docs.google.com/spreadsheets/d/1o7UZe4_OqlqtLDHrj01Z2YFRSZDf1DMy1n3XViHaxRc/edit?usp=share_link"",""ภูเก็ต!J717"")+IMPORTRANGE(""https://docs.google.c"&amp;"om/spreadsheets/d/1ctPm1vUzcUCPuOj9-eoHUD85PqINFqUB0TjdSWmR5-c/edit?usp=share_link"",""ยะลา!J717"")+IMPORTRANGE(""https://docs.google.com/spreadsheets/d/1YiDIE7Klmt8osgdapRqYWNr7iPGFSsiJqq46S7PYRE0/edit?usp=share_link"",""ระนอง!J717"")+IMPORTRANGE(""https"&amp;"://docs.google.com/spreadsheets/d/16o_4B-V7AWw_6E93bSpXj_XxVv1oVQctk-B6z1dNEWU/edit?usp=share_link"",""สงขลา!J717"")+IMPORTRANGE(""https://docs.google.com/spreadsheets/d/16cywr71Fj4fA5OGRHsZh30ZG2gwJhMAQv69oVBzYHv0/edit?usp=share_link"",""สตูล!J717"")+IMP"&amp;"ORTRANGE(""https://docs.google.com/spreadsheets/d/1vO9Sws6kMtrVtyvrAJptINXjK8TFBoX9xLYOVK_C8bQ/edit?usp=share_link"",""สุราษฎร์ธานี!J717"")"),0)</f>
        <v>0</v>
      </c>
      <c r="K717" s="38"/>
      <c r="L717" s="765"/>
      <c r="M717" s="189"/>
      <c r="N717" s="765"/>
      <c r="O717" s="38"/>
      <c r="P717" s="3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20.25" customHeight="1">
      <c r="A718" s="743"/>
      <c r="B718" s="575"/>
      <c r="C718" s="575"/>
      <c r="D718" s="576" t="s">
        <v>305</v>
      </c>
      <c r="E718" s="575"/>
      <c r="F718" s="575"/>
      <c r="G718" s="189"/>
      <c r="H718" s="182" t="s">
        <v>35</v>
      </c>
      <c r="I718" s="764"/>
      <c r="J718" s="37">
        <f ca="1">IFERROR(__xludf.DUMMYFUNCTION("IMPORTRANGE(""https://docs.google.com/spreadsheets/d/1kC41EOXpGBFOW658Fs3oD8beYlym0-zO54WY-2Qnp9I/edit?usp=share_link"",""กระบี่!J718"")
+IMPORTRANGE(""https://docs.google.com/spreadsheets/d/1FbzMZY_f3MDiEuK7RpCQKrilJ_kpX0Wm7QBZ1L7EjIU/edit?usp=share_link"&amp;""",""ชุมพร!J718"")+IMPORTRANGE(""https://docs.google.com/spreadsheets/d/1v5sN-00LrXuhBxw4dkh2GrG_z4l5oAqOdJRBCsUyMaM/edit?usp=share_link"",""ตรัง!J718"")+IMPORTRANGE(""https://docs.google.com/spreadsheets/d/1T5rRTzFc79aSIvqnzkZNvwPstq829QYz_xALlO1Z0s8/edi"&amp;"t?usp=share_link"",""นครศรีธรรมราช!J718"")+IMPORTRANGE(""https://docs.google.com/spreadsheets/d/1BeghqumK0IvCmRd2QOy6_afsZq7ZtAGrSnVJy2u7WmY/edit?usp=share_link"",""นราธิวาส!J718"")+IMPORTRANGE(""https://docs.google.com/spreadsheets/d/1IwnW3-jjRf74MCLW-6P"&amp;"iFwMUffRQXZwZA7YM609NmRc/edit?usp=share_link"",""ปัตตานี!J718"")+IMPORTRANGE(""https://docs.google.com/spreadsheets/d/1vl4QWbWdFruual5o_wdo6ZSqXZ_it806oja4CctTLKs/edit?usp=share_link"",""พังงา!J718"")+IMPORTRANGE(""https://docs.google.com/spreadsheets/d/1"&amp;"b6QssHQp2FoAPSMKHOy273KNzAomaIKhtdlvuZ_zDNE/edit?usp=share_link"",""พัทลุง!J718"")+IMPORTRANGE(""https://docs.google.com/spreadsheets/d/1o7UZe4_OqlqtLDHrj01Z2YFRSZDf1DMy1n3XViHaxRc/edit?usp=share_link"",""ภูเก็ต!J718"")+IMPORTRANGE(""https://docs.google.c"&amp;"om/spreadsheets/d/1ctPm1vUzcUCPuOj9-eoHUD85PqINFqUB0TjdSWmR5-c/edit?usp=share_link"",""ยะลา!J718"")+IMPORTRANGE(""https://docs.google.com/spreadsheets/d/1YiDIE7Klmt8osgdapRqYWNr7iPGFSsiJqq46S7PYRE0/edit?usp=share_link"",""ระนอง!J718"")+IMPORTRANGE(""https"&amp;"://docs.google.com/spreadsheets/d/16o_4B-V7AWw_6E93bSpXj_XxVv1oVQctk-B6z1dNEWU/edit?usp=share_link"",""สงขลา!J718"")+IMPORTRANGE(""https://docs.google.com/spreadsheets/d/16cywr71Fj4fA5OGRHsZh30ZG2gwJhMAQv69oVBzYHv0/edit?usp=share_link"",""สตูล!J718"")+IMP"&amp;"ORTRANGE(""https://docs.google.com/spreadsheets/d/1vO9Sws6kMtrVtyvrAJptINXjK8TFBoX9xLYOVK_C8bQ/edit?usp=share_link"",""สุราษฎร์ธานี!J718"")"),0)</f>
        <v>0</v>
      </c>
      <c r="K718" s="38"/>
      <c r="L718" s="38"/>
      <c r="M718" s="189"/>
      <c r="N718" s="765"/>
      <c r="O718" s="38"/>
      <c r="P718" s="3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20.25" customHeight="1">
      <c r="A719" s="743"/>
      <c r="B719" s="575"/>
      <c r="C719" s="575"/>
      <c r="D719" s="575"/>
      <c r="E719" s="575"/>
      <c r="F719" s="575"/>
      <c r="G719" s="189"/>
      <c r="H719" s="182" t="s">
        <v>34</v>
      </c>
      <c r="I719" s="764"/>
      <c r="J719" s="37">
        <f ca="1">IFERROR(__xludf.DUMMYFUNCTION("IMPORTRANGE(""https://docs.google.com/spreadsheets/d/1kC41EOXpGBFOW658Fs3oD8beYlym0-zO54WY-2Qnp9I/edit?usp=share_link"",""กระบี่!J719"")
+IMPORTRANGE(""https://docs.google.com/spreadsheets/d/1FbzMZY_f3MDiEuK7RpCQKrilJ_kpX0Wm7QBZ1L7EjIU/edit?usp=share_link"&amp;""",""ชุมพร!J719"")+IMPORTRANGE(""https://docs.google.com/spreadsheets/d/1v5sN-00LrXuhBxw4dkh2GrG_z4l5oAqOdJRBCsUyMaM/edit?usp=share_link"",""ตรัง!J719"")+IMPORTRANGE(""https://docs.google.com/spreadsheets/d/1T5rRTzFc79aSIvqnzkZNvwPstq829QYz_xALlO1Z0s8/edi"&amp;"t?usp=share_link"",""นครศรีธรรมราช!J719"")+IMPORTRANGE(""https://docs.google.com/spreadsheets/d/1BeghqumK0IvCmRd2QOy6_afsZq7ZtAGrSnVJy2u7WmY/edit?usp=share_link"",""นราธิวาส!J719"")+IMPORTRANGE(""https://docs.google.com/spreadsheets/d/1IwnW3-jjRf74MCLW-6P"&amp;"iFwMUffRQXZwZA7YM609NmRc/edit?usp=share_link"",""ปัตตานี!J719"")+IMPORTRANGE(""https://docs.google.com/spreadsheets/d/1vl4QWbWdFruual5o_wdo6ZSqXZ_it806oja4CctTLKs/edit?usp=share_link"",""พังงา!J719"")+IMPORTRANGE(""https://docs.google.com/spreadsheets/d/1"&amp;"b6QssHQp2FoAPSMKHOy273KNzAomaIKhtdlvuZ_zDNE/edit?usp=share_link"",""พัทลุง!J719"")+IMPORTRANGE(""https://docs.google.com/spreadsheets/d/1o7UZe4_OqlqtLDHrj01Z2YFRSZDf1DMy1n3XViHaxRc/edit?usp=share_link"",""ภูเก็ต!J719"")+IMPORTRANGE(""https://docs.google.c"&amp;"om/spreadsheets/d/1ctPm1vUzcUCPuOj9-eoHUD85PqINFqUB0TjdSWmR5-c/edit?usp=share_link"",""ยะลา!J719"")+IMPORTRANGE(""https://docs.google.com/spreadsheets/d/1YiDIE7Klmt8osgdapRqYWNr7iPGFSsiJqq46S7PYRE0/edit?usp=share_link"",""ระนอง!J719"")+IMPORTRANGE(""https"&amp;"://docs.google.com/spreadsheets/d/16o_4B-V7AWw_6E93bSpXj_XxVv1oVQctk-B6z1dNEWU/edit?usp=share_link"",""สงขลา!J719"")+IMPORTRANGE(""https://docs.google.com/spreadsheets/d/16cywr71Fj4fA5OGRHsZh30ZG2gwJhMAQv69oVBzYHv0/edit?usp=share_link"",""สตูล!J719"")+IMP"&amp;"ORTRANGE(""https://docs.google.com/spreadsheets/d/1vO9Sws6kMtrVtyvrAJptINXjK8TFBoX9xLYOVK_C8bQ/edit?usp=share_link"",""สุราษฎร์ธานี!J719"")"),0)</f>
        <v>0</v>
      </c>
      <c r="K719" s="38"/>
      <c r="L719" s="765"/>
      <c r="M719" s="189"/>
      <c r="N719" s="765"/>
      <c r="O719" s="38"/>
      <c r="P719" s="3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20.25" customHeight="1">
      <c r="A720" s="743"/>
      <c r="B720" s="575"/>
      <c r="C720" s="575"/>
      <c r="D720" s="575"/>
      <c r="E720" s="575"/>
      <c r="F720" s="575"/>
      <c r="G720" s="189"/>
      <c r="H720" s="182" t="s">
        <v>46</v>
      </c>
      <c r="I720" s="764">
        <f ca="1">IFERROR(__xludf.DUMMYFUNCTION("IMPORTRANGE(""https://docs.google.com/spreadsheets/d/1kC41EOXpGBFOW658Fs3oD8beYlym0-zO54WY-2Qnp9I/edit?usp=share_link"",""กระบี่!I720"")
+IMPORTRANGE(""https://docs.google.com/spreadsheets/d/1FbzMZY_f3MDiEuK7RpCQKrilJ_kpX0Wm7QBZ1L7EjIU/edit?usp=share_link"&amp;""",""ชุมพร!I720"")+IMPORTRANGE(""https://docs.google.com/spreadsheets/d/1v5sN-00LrXuhBxw4dkh2GrG_z4l5oAqOdJRBCsUyMaM/edit?usp=share_link"",""ตรัง!I720"")+IMPORTRANGE(""https://docs.google.com/spreadsheets/d/1T5rRTzFc79aSIvqnzkZNvwPstq829QYz_xALlO1Z0s8/edi"&amp;"t?usp=share_link"",""นครศรีธรรมราช!I720"")+IMPORTRANGE(""https://docs.google.com/spreadsheets/d/1BeghqumK0IvCmRd2QOy6_afsZq7ZtAGrSnVJy2u7WmY/edit?usp=share_link"",""นราธิวาส!I720"")+IMPORTRANGE(""https://docs.google.com/spreadsheets/d/1IwnW3-jjRf74MCLW-6P"&amp;"iFwMUffRQXZwZA7YM609NmRc/edit?usp=share_link"",""ปัตตานี!I720"")+IMPORTRANGE(""https://docs.google.com/spreadsheets/d/1vl4QWbWdFruual5o_wdo6ZSqXZ_it806oja4CctTLKs/edit?usp=share_link"",""พังงา!I720"")+IMPORTRANGE(""https://docs.google.com/spreadsheets/d/1"&amp;"b6QssHQp2FoAPSMKHOy273KNzAomaIKhtdlvuZ_zDNE/edit?usp=share_link"",""พัทลุง!I720"")+IMPORTRANGE(""https://docs.google.com/spreadsheets/d/1o7UZe4_OqlqtLDHrj01Z2YFRSZDf1DMy1n3XViHaxRc/edit?usp=share_link"",""ภูเก็ต!I720"")+IMPORTRANGE(""https://docs.google.c"&amp;"om/spreadsheets/d/1ctPm1vUzcUCPuOj9-eoHUD85PqINFqUB0TjdSWmR5-c/edit?usp=share_link"",""ยะลา!I720"")+IMPORTRANGE(""https://docs.google.com/spreadsheets/d/1YiDIE7Klmt8osgdapRqYWNr7iPGFSsiJqq46S7PYRE0/edit?usp=share_link"",""ระนอง!I720"")+IMPORTRANGE(""https"&amp;"://docs.google.com/spreadsheets/d/16o_4B-V7AWw_6E93bSpXj_XxVv1oVQctk-B6z1dNEWU/edit?usp=share_link"",""สงขลา!I720"")+IMPORTRANGE(""https://docs.google.com/spreadsheets/d/16cywr71Fj4fA5OGRHsZh30ZG2gwJhMAQv69oVBzYHv0/edit?usp=share_link"",""สตูล!I720"")+IMP"&amp;"ORTRANGE(""https://docs.google.com/spreadsheets/d/1vO9Sws6kMtrVtyvrAJptINXjK8TFBoX9xLYOVK_C8bQ/edit?usp=share_link"",""สุราษฎร์ธานี!I720"")"),0)</f>
        <v>0</v>
      </c>
      <c r="J720" s="37">
        <f ca="1">IFERROR(__xludf.DUMMYFUNCTION("IMPORTRANGE(""https://docs.google.com/spreadsheets/d/1kC41EOXpGBFOW658Fs3oD8beYlym0-zO54WY-2Qnp9I/edit?usp=share_link"",""กระบี่!J720"")
+IMPORTRANGE(""https://docs.google.com/spreadsheets/d/1FbzMZY_f3MDiEuK7RpCQKrilJ_kpX0Wm7QBZ1L7EjIU/edit?usp=share_link"&amp;""",""ชุมพร!J720"")+IMPORTRANGE(""https://docs.google.com/spreadsheets/d/1v5sN-00LrXuhBxw4dkh2GrG_z4l5oAqOdJRBCsUyMaM/edit?usp=share_link"",""ตรัง!J720"")+IMPORTRANGE(""https://docs.google.com/spreadsheets/d/1T5rRTzFc79aSIvqnzkZNvwPstq829QYz_xALlO1Z0s8/edi"&amp;"t?usp=share_link"",""นครศรีธรรมราช!J720"")+IMPORTRANGE(""https://docs.google.com/spreadsheets/d/1BeghqumK0IvCmRd2QOy6_afsZq7ZtAGrSnVJy2u7WmY/edit?usp=share_link"",""นราธิวาส!J720"")+IMPORTRANGE(""https://docs.google.com/spreadsheets/d/1IwnW3-jjRf74MCLW-6P"&amp;"iFwMUffRQXZwZA7YM609NmRc/edit?usp=share_link"",""ปัตตานี!J720"")+IMPORTRANGE(""https://docs.google.com/spreadsheets/d/1vl4QWbWdFruual5o_wdo6ZSqXZ_it806oja4CctTLKs/edit?usp=share_link"",""พังงา!J720"")+IMPORTRANGE(""https://docs.google.com/spreadsheets/d/1"&amp;"b6QssHQp2FoAPSMKHOy273KNzAomaIKhtdlvuZ_zDNE/edit?usp=share_link"",""พัทลุง!J720"")+IMPORTRANGE(""https://docs.google.com/spreadsheets/d/1o7UZe4_OqlqtLDHrj01Z2YFRSZDf1DMy1n3XViHaxRc/edit?usp=share_link"",""ภูเก็ต!J720"")+IMPORTRANGE(""https://docs.google.c"&amp;"om/spreadsheets/d/1ctPm1vUzcUCPuOj9-eoHUD85PqINFqUB0TjdSWmR5-c/edit?usp=share_link"",""ยะลา!J720"")+IMPORTRANGE(""https://docs.google.com/spreadsheets/d/1YiDIE7Klmt8osgdapRqYWNr7iPGFSsiJqq46S7PYRE0/edit?usp=share_link"",""ระนอง!J720"")+IMPORTRANGE(""https"&amp;"://docs.google.com/spreadsheets/d/16o_4B-V7AWw_6E93bSpXj_XxVv1oVQctk-B6z1dNEWU/edit?usp=share_link"",""สงขลา!J720"")+IMPORTRANGE(""https://docs.google.com/spreadsheets/d/16cywr71Fj4fA5OGRHsZh30ZG2gwJhMAQv69oVBzYHv0/edit?usp=share_link"",""สตูล!J720"")+IMP"&amp;"ORTRANGE(""https://docs.google.com/spreadsheets/d/1vO9Sws6kMtrVtyvrAJptINXjK8TFBoX9xLYOVK_C8bQ/edit?usp=share_link"",""สุราษฎร์ธานี!J720"")"),0)</f>
        <v>0</v>
      </c>
      <c r="K720" s="38">
        <f t="shared" ref="K720:K723" ca="1" si="330">IF(I720&gt;0,J720*100/I720,0)</f>
        <v>0</v>
      </c>
      <c r="L720" s="765"/>
      <c r="M720" s="189"/>
      <c r="N720" s="765"/>
      <c r="O720" s="38"/>
      <c r="P720" s="3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20.25" customHeight="1">
      <c r="A721" s="743"/>
      <c r="B721" s="575"/>
      <c r="C721" s="575"/>
      <c r="D721" s="576" t="s">
        <v>306</v>
      </c>
      <c r="E721" s="575"/>
      <c r="F721" s="575"/>
      <c r="G721" s="189"/>
      <c r="H721" s="751" t="s">
        <v>35</v>
      </c>
      <c r="I721" s="767">
        <f ca="1">IFERROR(__xludf.DUMMYFUNCTION("IMPORTRANGE(""https://docs.google.com/spreadsheets/d/1kC41EOXpGBFOW658Fs3oD8beYlym0-zO54WY-2Qnp9I/edit?usp=share_link"",""กระบี่!I721"")
+IMPORTRANGE(""https://docs.google.com/spreadsheets/d/1FbzMZY_f3MDiEuK7RpCQKrilJ_kpX0Wm7QBZ1L7EjIU/edit?usp=share_link"&amp;""",""ชุมพร!I721"")+IMPORTRANGE(""https://docs.google.com/spreadsheets/d/1v5sN-00LrXuhBxw4dkh2GrG_z4l5oAqOdJRBCsUyMaM/edit?usp=share_link"",""ตรัง!I721"")+IMPORTRANGE(""https://docs.google.com/spreadsheets/d/1T5rRTzFc79aSIvqnzkZNvwPstq829QYz_xALlO1Z0s8/edi"&amp;"t?usp=share_link"",""นครศรีธรรมราช!I721"")+IMPORTRANGE(""https://docs.google.com/spreadsheets/d/1BeghqumK0IvCmRd2QOy6_afsZq7ZtAGrSnVJy2u7WmY/edit?usp=share_link"",""นราธิวาส!I721"")+IMPORTRANGE(""https://docs.google.com/spreadsheets/d/1IwnW3-jjRf74MCLW-6P"&amp;"iFwMUffRQXZwZA7YM609NmRc/edit?usp=share_link"",""ปัตตานี!I721"")+IMPORTRANGE(""https://docs.google.com/spreadsheets/d/1vl4QWbWdFruual5o_wdo6ZSqXZ_it806oja4CctTLKs/edit?usp=share_link"",""พังงา!I721"")+IMPORTRANGE(""https://docs.google.com/spreadsheets/d/1"&amp;"b6QssHQp2FoAPSMKHOy273KNzAomaIKhtdlvuZ_zDNE/edit?usp=share_link"",""พัทลุง!I721"")+IMPORTRANGE(""https://docs.google.com/spreadsheets/d/1o7UZe4_OqlqtLDHrj01Z2YFRSZDf1DMy1n3XViHaxRc/edit?usp=share_link"",""ภูเก็ต!I721"")+IMPORTRANGE(""https://docs.google.c"&amp;"om/spreadsheets/d/1ctPm1vUzcUCPuOj9-eoHUD85PqINFqUB0TjdSWmR5-c/edit?usp=share_link"",""ยะลา!I721"")+IMPORTRANGE(""https://docs.google.com/spreadsheets/d/1YiDIE7Klmt8osgdapRqYWNr7iPGFSsiJqq46S7PYRE0/edit?usp=share_link"",""ระนอง!I721"")+IMPORTRANGE(""https"&amp;"://docs.google.com/spreadsheets/d/16o_4B-V7AWw_6E93bSpXj_XxVv1oVQctk-B6z1dNEWU/edit?usp=share_link"",""สงขลา!I721"")+IMPORTRANGE(""https://docs.google.com/spreadsheets/d/16cywr71Fj4fA5OGRHsZh30ZG2gwJhMAQv69oVBzYHv0/edit?usp=share_link"",""สตูล!I721"")+IMP"&amp;"ORTRANGE(""https://docs.google.com/spreadsheets/d/1vO9Sws6kMtrVtyvrAJptINXjK8TFBoX9xLYOVK_C8bQ/edit?usp=share_link"",""สุราษฎร์ธานี!I721"")"),87)</f>
        <v>87</v>
      </c>
      <c r="J721" s="194">
        <f ca="1">J723+J726</f>
        <v>0</v>
      </c>
      <c r="K721" s="195">
        <f t="shared" ca="1" si="330"/>
        <v>0</v>
      </c>
      <c r="L721" s="765"/>
      <c r="M721" s="189"/>
      <c r="N721" s="765"/>
      <c r="O721" s="38"/>
      <c r="P721" s="3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20.25" customHeight="1">
      <c r="A722" s="743"/>
      <c r="B722" s="575"/>
      <c r="C722" s="575"/>
      <c r="D722" s="575"/>
      <c r="E722" s="576"/>
      <c r="F722" s="575"/>
      <c r="G722" s="189"/>
      <c r="H722" s="751" t="s">
        <v>46</v>
      </c>
      <c r="I722" s="767">
        <f ca="1">IFERROR(__xludf.DUMMYFUNCTION("IMPORTRANGE(""https://docs.google.com/spreadsheets/d/1kC41EOXpGBFOW658Fs3oD8beYlym0-zO54WY-2Qnp9I/edit?usp=share_link"",""กระบี่!I722"")
+IMPORTRANGE(""https://docs.google.com/spreadsheets/d/1FbzMZY_f3MDiEuK7RpCQKrilJ_kpX0Wm7QBZ1L7EjIU/edit?usp=share_link"&amp;""",""ชุมพร!I722"")+IMPORTRANGE(""https://docs.google.com/spreadsheets/d/1v5sN-00LrXuhBxw4dkh2GrG_z4l5oAqOdJRBCsUyMaM/edit?usp=share_link"",""ตรัง!I722"")+IMPORTRANGE(""https://docs.google.com/spreadsheets/d/1T5rRTzFc79aSIvqnzkZNvwPstq829QYz_xALlO1Z0s8/edi"&amp;"t?usp=share_link"",""นครศรีธรรมราช!I722"")+IMPORTRANGE(""https://docs.google.com/spreadsheets/d/1BeghqumK0IvCmRd2QOy6_afsZq7ZtAGrSnVJy2u7WmY/edit?usp=share_link"",""นราธิวาส!I722"")+IMPORTRANGE(""https://docs.google.com/spreadsheets/d/1IwnW3-jjRf74MCLW-6P"&amp;"iFwMUffRQXZwZA7YM609NmRc/edit?usp=share_link"",""ปัตตานี!I722"")+IMPORTRANGE(""https://docs.google.com/spreadsheets/d/1vl4QWbWdFruual5o_wdo6ZSqXZ_it806oja4CctTLKs/edit?usp=share_link"",""พังงา!I722"")+IMPORTRANGE(""https://docs.google.com/spreadsheets/d/1"&amp;"b6QssHQp2FoAPSMKHOy273KNzAomaIKhtdlvuZ_zDNE/edit?usp=share_link"",""พัทลุง!I722"")+IMPORTRANGE(""https://docs.google.com/spreadsheets/d/1o7UZe4_OqlqtLDHrj01Z2YFRSZDf1DMy1n3XViHaxRc/edit?usp=share_link"",""ภูเก็ต!I722"")+IMPORTRANGE(""https://docs.google.c"&amp;"om/spreadsheets/d/1ctPm1vUzcUCPuOj9-eoHUD85PqINFqUB0TjdSWmR5-c/edit?usp=share_link"",""ยะลา!I722"")+IMPORTRANGE(""https://docs.google.com/spreadsheets/d/1YiDIE7Klmt8osgdapRqYWNr7iPGFSsiJqq46S7PYRE0/edit?usp=share_link"",""ระนอง!I722"")+IMPORTRANGE(""https"&amp;"://docs.google.com/spreadsheets/d/16o_4B-V7AWw_6E93bSpXj_XxVv1oVQctk-B6z1dNEWU/edit?usp=share_link"",""สงขลา!I722"")+IMPORTRANGE(""https://docs.google.com/spreadsheets/d/16cywr71Fj4fA5OGRHsZh30ZG2gwJhMAQv69oVBzYHv0/edit?usp=share_link"",""สตูล!I722"")+IMP"&amp;"ORTRANGE(""https://docs.google.com/spreadsheets/d/1vO9Sws6kMtrVtyvrAJptINXjK8TFBoX9xLYOVK_C8bQ/edit?usp=share_link"",""สุราษฎร์ธานี!I722"")"),332)</f>
        <v>332</v>
      </c>
      <c r="J722" s="194">
        <f ca="1">J725+J728</f>
        <v>0</v>
      </c>
      <c r="K722" s="195">
        <f t="shared" ca="1" si="330"/>
        <v>0</v>
      </c>
      <c r="L722" s="38"/>
      <c r="M722" s="189"/>
      <c r="N722" s="765"/>
      <c r="O722" s="38"/>
      <c r="P722" s="3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20.25" customHeight="1">
      <c r="A723" s="743"/>
      <c r="B723" s="575"/>
      <c r="C723" s="575"/>
      <c r="D723" s="575"/>
      <c r="E723" s="576" t="s">
        <v>307</v>
      </c>
      <c r="F723" s="575"/>
      <c r="G723" s="189"/>
      <c r="H723" s="182" t="s">
        <v>35</v>
      </c>
      <c r="I723" s="764">
        <f ca="1">IFERROR(__xludf.DUMMYFUNCTION("IMPORTRANGE(""https://docs.google.com/spreadsheets/d/1kC41EOXpGBFOW658Fs3oD8beYlym0-zO54WY-2Qnp9I/edit?usp=share_link"",""กระบี่!I723"")
+IMPORTRANGE(""https://docs.google.com/spreadsheets/d/1FbzMZY_f3MDiEuK7RpCQKrilJ_kpX0Wm7QBZ1L7EjIU/edit?usp=share_link"&amp;""",""ชุมพร!I723"")+IMPORTRANGE(""https://docs.google.com/spreadsheets/d/1v5sN-00LrXuhBxw4dkh2GrG_z4l5oAqOdJRBCsUyMaM/edit?usp=share_link"",""ตรัง!I723"")+IMPORTRANGE(""https://docs.google.com/spreadsheets/d/1T5rRTzFc79aSIvqnzkZNvwPstq829QYz_xALlO1Z0s8/edi"&amp;"t?usp=share_link"",""นครศรีธรรมราช!I723"")+IMPORTRANGE(""https://docs.google.com/spreadsheets/d/1BeghqumK0IvCmRd2QOy6_afsZq7ZtAGrSnVJy2u7WmY/edit?usp=share_link"",""นราธิวาส!I723"")+IMPORTRANGE(""https://docs.google.com/spreadsheets/d/1IwnW3-jjRf74MCLW-6P"&amp;"iFwMUffRQXZwZA7YM609NmRc/edit?usp=share_link"",""ปัตตานี!I723"")+IMPORTRANGE(""https://docs.google.com/spreadsheets/d/1vl4QWbWdFruual5o_wdo6ZSqXZ_it806oja4CctTLKs/edit?usp=share_link"",""พังงา!I723"")+IMPORTRANGE(""https://docs.google.com/spreadsheets/d/1"&amp;"b6QssHQp2FoAPSMKHOy273KNzAomaIKhtdlvuZ_zDNE/edit?usp=share_link"",""พัทลุง!I723"")+IMPORTRANGE(""https://docs.google.com/spreadsheets/d/1o7UZe4_OqlqtLDHrj01Z2YFRSZDf1DMy1n3XViHaxRc/edit?usp=share_link"",""ภูเก็ต!I723"")+IMPORTRANGE(""https://docs.google.c"&amp;"om/spreadsheets/d/1ctPm1vUzcUCPuOj9-eoHUD85PqINFqUB0TjdSWmR5-c/edit?usp=share_link"",""ยะลา!I723"")+IMPORTRANGE(""https://docs.google.com/spreadsheets/d/1YiDIE7Klmt8osgdapRqYWNr7iPGFSsiJqq46S7PYRE0/edit?usp=share_link"",""ระนอง!I723"")+IMPORTRANGE(""https"&amp;"://docs.google.com/spreadsheets/d/16o_4B-V7AWw_6E93bSpXj_XxVv1oVQctk-B6z1dNEWU/edit?usp=share_link"",""สงขลา!I723"")+IMPORTRANGE(""https://docs.google.com/spreadsheets/d/16cywr71Fj4fA5OGRHsZh30ZG2gwJhMAQv69oVBzYHv0/edit?usp=share_link"",""สตูล!I723"")+IMP"&amp;"ORTRANGE(""https://docs.google.com/spreadsheets/d/1vO9Sws6kMtrVtyvrAJptINXjK8TFBoX9xLYOVK_C8bQ/edit?usp=share_link"",""สุราษฎร์ธานี!I723"")"),50)</f>
        <v>50</v>
      </c>
      <c r="J723" s="37">
        <f ca="1">IFERROR(__xludf.DUMMYFUNCTION("IMPORTRANGE(""https://docs.google.com/spreadsheets/d/1kC41EOXpGBFOW658Fs3oD8beYlym0-zO54WY-2Qnp9I/edit?usp=share_link"",""กระบี่!J723"")
+IMPORTRANGE(""https://docs.google.com/spreadsheets/d/1FbzMZY_f3MDiEuK7RpCQKrilJ_kpX0Wm7QBZ1L7EjIU/edit?usp=share_link"&amp;""",""ชุมพร!J723"")+IMPORTRANGE(""https://docs.google.com/spreadsheets/d/1v5sN-00LrXuhBxw4dkh2GrG_z4l5oAqOdJRBCsUyMaM/edit?usp=share_link"",""ตรัง!J723"")+IMPORTRANGE(""https://docs.google.com/spreadsheets/d/1T5rRTzFc79aSIvqnzkZNvwPstq829QYz_xALlO1Z0s8/edi"&amp;"t?usp=share_link"",""นครศรีธรรมราช!J723"")+IMPORTRANGE(""https://docs.google.com/spreadsheets/d/1BeghqumK0IvCmRd2QOy6_afsZq7ZtAGrSnVJy2u7WmY/edit?usp=share_link"",""นราธิวาส!J723"")+IMPORTRANGE(""https://docs.google.com/spreadsheets/d/1IwnW3-jjRf74MCLW-6P"&amp;"iFwMUffRQXZwZA7YM609NmRc/edit?usp=share_link"",""ปัตตานี!J723"")+IMPORTRANGE(""https://docs.google.com/spreadsheets/d/1vl4QWbWdFruual5o_wdo6ZSqXZ_it806oja4CctTLKs/edit?usp=share_link"",""พังงา!J723"")+IMPORTRANGE(""https://docs.google.com/spreadsheets/d/1"&amp;"b6QssHQp2FoAPSMKHOy273KNzAomaIKhtdlvuZ_zDNE/edit?usp=share_link"",""พัทลุง!J723"")+IMPORTRANGE(""https://docs.google.com/spreadsheets/d/1o7UZe4_OqlqtLDHrj01Z2YFRSZDf1DMy1n3XViHaxRc/edit?usp=share_link"",""ภูเก็ต!J723"")+IMPORTRANGE(""https://docs.google.c"&amp;"om/spreadsheets/d/1ctPm1vUzcUCPuOj9-eoHUD85PqINFqUB0TjdSWmR5-c/edit?usp=share_link"",""ยะลา!J723"")+IMPORTRANGE(""https://docs.google.com/spreadsheets/d/1YiDIE7Klmt8osgdapRqYWNr7iPGFSsiJqq46S7PYRE0/edit?usp=share_link"",""ระนอง!J723"")+IMPORTRANGE(""https"&amp;"://docs.google.com/spreadsheets/d/16o_4B-V7AWw_6E93bSpXj_XxVv1oVQctk-B6z1dNEWU/edit?usp=share_link"",""สงขลา!J723"")+IMPORTRANGE(""https://docs.google.com/spreadsheets/d/16cywr71Fj4fA5OGRHsZh30ZG2gwJhMAQv69oVBzYHv0/edit?usp=share_link"",""สตูล!J723"")+IMP"&amp;"ORTRANGE(""https://docs.google.com/spreadsheets/d/1vO9Sws6kMtrVtyvrAJptINXjK8TFBoX9xLYOVK_C8bQ/edit?usp=share_link"",""สุราษฎร์ธานี!J723"")"),0)</f>
        <v>0</v>
      </c>
      <c r="K723" s="38">
        <f t="shared" ca="1" si="330"/>
        <v>0</v>
      </c>
      <c r="L723" s="38"/>
      <c r="M723" s="189"/>
      <c r="N723" s="765"/>
      <c r="O723" s="38"/>
      <c r="P723" s="3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20.25" customHeight="1">
      <c r="A724" s="743"/>
      <c r="B724" s="575"/>
      <c r="C724" s="575"/>
      <c r="D724" s="575"/>
      <c r="E724" s="575"/>
      <c r="F724" s="575"/>
      <c r="G724" s="189"/>
      <c r="H724" s="182" t="s">
        <v>34</v>
      </c>
      <c r="I724" s="764"/>
      <c r="J724" s="37">
        <f ca="1">IFERROR(__xludf.DUMMYFUNCTION("IMPORTRANGE(""https://docs.google.com/spreadsheets/d/1kC41EOXpGBFOW658Fs3oD8beYlym0-zO54WY-2Qnp9I/edit?usp=share_link"",""กระบี่!J724"")
+IMPORTRANGE(""https://docs.google.com/spreadsheets/d/1FbzMZY_f3MDiEuK7RpCQKrilJ_kpX0Wm7QBZ1L7EjIU/edit?usp=share_link"&amp;""",""ชุมพร!J724"")+IMPORTRANGE(""https://docs.google.com/spreadsheets/d/1v5sN-00LrXuhBxw4dkh2GrG_z4l5oAqOdJRBCsUyMaM/edit?usp=share_link"",""ตรัง!J724"")+IMPORTRANGE(""https://docs.google.com/spreadsheets/d/1T5rRTzFc79aSIvqnzkZNvwPstq829QYz_xALlO1Z0s8/edi"&amp;"t?usp=share_link"",""นครศรีธรรมราช!J724"")+IMPORTRANGE(""https://docs.google.com/spreadsheets/d/1BeghqumK0IvCmRd2QOy6_afsZq7ZtAGrSnVJy2u7WmY/edit?usp=share_link"",""นราธิวาส!J724"")+IMPORTRANGE(""https://docs.google.com/spreadsheets/d/1IwnW3-jjRf74MCLW-6P"&amp;"iFwMUffRQXZwZA7YM609NmRc/edit?usp=share_link"",""ปัตตานี!J724"")+IMPORTRANGE(""https://docs.google.com/spreadsheets/d/1vl4QWbWdFruual5o_wdo6ZSqXZ_it806oja4CctTLKs/edit?usp=share_link"",""พังงา!J724"")+IMPORTRANGE(""https://docs.google.com/spreadsheets/d/1"&amp;"b6QssHQp2FoAPSMKHOy273KNzAomaIKhtdlvuZ_zDNE/edit?usp=share_link"",""พัทลุง!J724"")+IMPORTRANGE(""https://docs.google.com/spreadsheets/d/1o7UZe4_OqlqtLDHrj01Z2YFRSZDf1DMy1n3XViHaxRc/edit?usp=share_link"",""ภูเก็ต!J724"")+IMPORTRANGE(""https://docs.google.c"&amp;"om/spreadsheets/d/1ctPm1vUzcUCPuOj9-eoHUD85PqINFqUB0TjdSWmR5-c/edit?usp=share_link"",""ยะลา!J724"")+IMPORTRANGE(""https://docs.google.com/spreadsheets/d/1YiDIE7Klmt8osgdapRqYWNr7iPGFSsiJqq46S7PYRE0/edit?usp=share_link"",""ระนอง!J724"")+IMPORTRANGE(""https"&amp;"://docs.google.com/spreadsheets/d/16o_4B-V7AWw_6E93bSpXj_XxVv1oVQctk-B6z1dNEWU/edit?usp=share_link"",""สงขลา!J724"")+IMPORTRANGE(""https://docs.google.com/spreadsheets/d/16cywr71Fj4fA5OGRHsZh30ZG2gwJhMAQv69oVBzYHv0/edit?usp=share_link"",""สตูล!J724"")+IMP"&amp;"ORTRANGE(""https://docs.google.com/spreadsheets/d/1vO9Sws6kMtrVtyvrAJptINXjK8TFBoX9xLYOVK_C8bQ/edit?usp=share_link"",""สุราษฎร์ธานี!J724"")"),0)</f>
        <v>0</v>
      </c>
      <c r="K724" s="38"/>
      <c r="L724" s="765"/>
      <c r="M724" s="189"/>
      <c r="N724" s="765"/>
      <c r="O724" s="38"/>
      <c r="P724" s="3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20.25" customHeight="1">
      <c r="A725" s="743"/>
      <c r="B725" s="575"/>
      <c r="C725" s="575"/>
      <c r="D725" s="575"/>
      <c r="E725" s="575"/>
      <c r="F725" s="575"/>
      <c r="G725" s="189"/>
      <c r="H725" s="182" t="s">
        <v>46</v>
      </c>
      <c r="I725" s="764">
        <f ca="1">IFERROR(__xludf.DUMMYFUNCTION("IMPORTRANGE(""https://docs.google.com/spreadsheets/d/1kC41EOXpGBFOW658Fs3oD8beYlym0-zO54WY-2Qnp9I/edit?usp=share_link"",""กระบี่!I725"")
+IMPORTRANGE(""https://docs.google.com/spreadsheets/d/1FbzMZY_f3MDiEuK7RpCQKrilJ_kpX0Wm7QBZ1L7EjIU/edit?usp=share_link"&amp;""",""ชุมพร!I725"")+IMPORTRANGE(""https://docs.google.com/spreadsheets/d/1v5sN-00LrXuhBxw4dkh2GrG_z4l5oAqOdJRBCsUyMaM/edit?usp=share_link"",""ตรัง!I725"")+IMPORTRANGE(""https://docs.google.com/spreadsheets/d/1T5rRTzFc79aSIvqnzkZNvwPstq829QYz_xALlO1Z0s8/edi"&amp;"t?usp=share_link"",""นครศรีธรรมราช!I725"")+IMPORTRANGE(""https://docs.google.com/spreadsheets/d/1BeghqumK0IvCmRd2QOy6_afsZq7ZtAGrSnVJy2u7WmY/edit?usp=share_link"",""นราธิวาส!I725"")+IMPORTRANGE(""https://docs.google.com/spreadsheets/d/1IwnW3-jjRf74MCLW-6P"&amp;"iFwMUffRQXZwZA7YM609NmRc/edit?usp=share_link"",""ปัตตานี!I725"")+IMPORTRANGE(""https://docs.google.com/spreadsheets/d/1vl4QWbWdFruual5o_wdo6ZSqXZ_it806oja4CctTLKs/edit?usp=share_link"",""พังงา!I725"")+IMPORTRANGE(""https://docs.google.com/spreadsheets/d/1"&amp;"b6QssHQp2FoAPSMKHOy273KNzAomaIKhtdlvuZ_zDNE/edit?usp=share_link"",""พัทลุง!I725"")+IMPORTRANGE(""https://docs.google.com/spreadsheets/d/1o7UZe4_OqlqtLDHrj01Z2YFRSZDf1DMy1n3XViHaxRc/edit?usp=share_link"",""ภูเก็ต!I725"")+IMPORTRANGE(""https://docs.google.c"&amp;"om/spreadsheets/d/1ctPm1vUzcUCPuOj9-eoHUD85PqINFqUB0TjdSWmR5-c/edit?usp=share_link"",""ยะลา!I725"")+IMPORTRANGE(""https://docs.google.com/spreadsheets/d/1YiDIE7Klmt8osgdapRqYWNr7iPGFSsiJqq46S7PYRE0/edit?usp=share_link"",""ระนอง!I725"")+IMPORTRANGE(""https"&amp;"://docs.google.com/spreadsheets/d/16o_4B-V7AWw_6E93bSpXj_XxVv1oVQctk-B6z1dNEWU/edit?usp=share_link"",""สงขลา!I725"")+IMPORTRANGE(""https://docs.google.com/spreadsheets/d/16cywr71Fj4fA5OGRHsZh30ZG2gwJhMAQv69oVBzYHv0/edit?usp=share_link"",""สตูล!I725"")+IMP"&amp;"ORTRANGE(""https://docs.google.com/spreadsheets/d/1vO9Sws6kMtrVtyvrAJptINXjK8TFBoX9xLYOVK_C8bQ/edit?usp=share_link"",""สุราษฎร์ธานี!I725"")"),212)</f>
        <v>212</v>
      </c>
      <c r="J725" s="37">
        <f ca="1">IFERROR(__xludf.DUMMYFUNCTION("IMPORTRANGE(""https://docs.google.com/spreadsheets/d/1kC41EOXpGBFOW658Fs3oD8beYlym0-zO54WY-2Qnp9I/edit?usp=share_link"",""กระบี่!J725"")
+IMPORTRANGE(""https://docs.google.com/spreadsheets/d/1FbzMZY_f3MDiEuK7RpCQKrilJ_kpX0Wm7QBZ1L7EjIU/edit?usp=share_link"&amp;""",""ชุมพร!J725"")+IMPORTRANGE(""https://docs.google.com/spreadsheets/d/1v5sN-00LrXuhBxw4dkh2GrG_z4l5oAqOdJRBCsUyMaM/edit?usp=share_link"",""ตรัง!J725"")+IMPORTRANGE(""https://docs.google.com/spreadsheets/d/1T5rRTzFc79aSIvqnzkZNvwPstq829QYz_xALlO1Z0s8/edi"&amp;"t?usp=share_link"",""นครศรีธรรมราช!J725"")+IMPORTRANGE(""https://docs.google.com/spreadsheets/d/1BeghqumK0IvCmRd2QOy6_afsZq7ZtAGrSnVJy2u7WmY/edit?usp=share_link"",""นราธิวาส!J725"")+IMPORTRANGE(""https://docs.google.com/spreadsheets/d/1IwnW3-jjRf74MCLW-6P"&amp;"iFwMUffRQXZwZA7YM609NmRc/edit?usp=share_link"",""ปัตตานี!J725"")+IMPORTRANGE(""https://docs.google.com/spreadsheets/d/1vl4QWbWdFruual5o_wdo6ZSqXZ_it806oja4CctTLKs/edit?usp=share_link"",""พังงา!J725"")+IMPORTRANGE(""https://docs.google.com/spreadsheets/d/1"&amp;"b6QssHQp2FoAPSMKHOy273KNzAomaIKhtdlvuZ_zDNE/edit?usp=share_link"",""พัทลุง!J725"")+IMPORTRANGE(""https://docs.google.com/spreadsheets/d/1o7UZe4_OqlqtLDHrj01Z2YFRSZDf1DMy1n3XViHaxRc/edit?usp=share_link"",""ภูเก็ต!J725"")+IMPORTRANGE(""https://docs.google.c"&amp;"om/spreadsheets/d/1ctPm1vUzcUCPuOj9-eoHUD85PqINFqUB0TjdSWmR5-c/edit?usp=share_link"",""ยะลา!J725"")+IMPORTRANGE(""https://docs.google.com/spreadsheets/d/1YiDIE7Klmt8osgdapRqYWNr7iPGFSsiJqq46S7PYRE0/edit?usp=share_link"",""ระนอง!J725"")+IMPORTRANGE(""https"&amp;"://docs.google.com/spreadsheets/d/16o_4B-V7AWw_6E93bSpXj_XxVv1oVQctk-B6z1dNEWU/edit?usp=share_link"",""สงขลา!J725"")+IMPORTRANGE(""https://docs.google.com/spreadsheets/d/16cywr71Fj4fA5OGRHsZh30ZG2gwJhMAQv69oVBzYHv0/edit?usp=share_link"",""สตูล!J725"")+IMP"&amp;"ORTRANGE(""https://docs.google.com/spreadsheets/d/1vO9Sws6kMtrVtyvrAJptINXjK8TFBoX9xLYOVK_C8bQ/edit?usp=share_link"",""สุราษฎร์ธานี!J725"")"),0)</f>
        <v>0</v>
      </c>
      <c r="K725" s="38">
        <f t="shared" ref="K725:K726" ca="1" si="331">IF(I725&gt;0,J725*100/I725,0)</f>
        <v>0</v>
      </c>
      <c r="L725" s="765"/>
      <c r="M725" s="189"/>
      <c r="N725" s="765"/>
      <c r="O725" s="38"/>
      <c r="P725" s="3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20.25" customHeight="1">
      <c r="A726" s="743"/>
      <c r="B726" s="575"/>
      <c r="C726" s="575"/>
      <c r="D726" s="575"/>
      <c r="E726" s="576" t="s">
        <v>308</v>
      </c>
      <c r="F726" s="575"/>
      <c r="G726" s="189"/>
      <c r="H726" s="182" t="s">
        <v>35</v>
      </c>
      <c r="I726" s="764">
        <f ca="1">IFERROR(__xludf.DUMMYFUNCTION("IMPORTRANGE(""https://docs.google.com/spreadsheets/d/1kC41EOXpGBFOW658Fs3oD8beYlym0-zO54WY-2Qnp9I/edit?usp=share_link"",""กระบี่!I726"")
+IMPORTRANGE(""https://docs.google.com/spreadsheets/d/1FbzMZY_f3MDiEuK7RpCQKrilJ_kpX0Wm7QBZ1L7EjIU/edit?usp=share_link"&amp;""",""ชุมพร!I726"")+IMPORTRANGE(""https://docs.google.com/spreadsheets/d/1v5sN-00LrXuhBxw4dkh2GrG_z4l5oAqOdJRBCsUyMaM/edit?usp=share_link"",""ตรัง!I726"")+IMPORTRANGE(""https://docs.google.com/spreadsheets/d/1T5rRTzFc79aSIvqnzkZNvwPstq829QYz_xALlO1Z0s8/edi"&amp;"t?usp=share_link"",""นครศรีธรรมราช!I726"")+IMPORTRANGE(""https://docs.google.com/spreadsheets/d/1BeghqumK0IvCmRd2QOy6_afsZq7ZtAGrSnVJy2u7WmY/edit?usp=share_link"",""นราธิวาส!I726"")+IMPORTRANGE(""https://docs.google.com/spreadsheets/d/1IwnW3-jjRf74MCLW-6P"&amp;"iFwMUffRQXZwZA7YM609NmRc/edit?usp=share_link"",""ปัตตานี!I726"")+IMPORTRANGE(""https://docs.google.com/spreadsheets/d/1vl4QWbWdFruual5o_wdo6ZSqXZ_it806oja4CctTLKs/edit?usp=share_link"",""พังงา!I726"")+IMPORTRANGE(""https://docs.google.com/spreadsheets/d/1"&amp;"b6QssHQp2FoAPSMKHOy273KNzAomaIKhtdlvuZ_zDNE/edit?usp=share_link"",""พัทลุง!I726"")+IMPORTRANGE(""https://docs.google.com/spreadsheets/d/1o7UZe4_OqlqtLDHrj01Z2YFRSZDf1DMy1n3XViHaxRc/edit?usp=share_link"",""ภูเก็ต!I726"")+IMPORTRANGE(""https://docs.google.c"&amp;"om/spreadsheets/d/1ctPm1vUzcUCPuOj9-eoHUD85PqINFqUB0TjdSWmR5-c/edit?usp=share_link"",""ยะลา!I726"")+IMPORTRANGE(""https://docs.google.com/spreadsheets/d/1YiDIE7Klmt8osgdapRqYWNr7iPGFSsiJqq46S7PYRE0/edit?usp=share_link"",""ระนอง!I726"")+IMPORTRANGE(""https"&amp;"://docs.google.com/spreadsheets/d/16o_4B-V7AWw_6E93bSpXj_XxVv1oVQctk-B6z1dNEWU/edit?usp=share_link"",""สงขลา!I726"")+IMPORTRANGE(""https://docs.google.com/spreadsheets/d/16cywr71Fj4fA5OGRHsZh30ZG2gwJhMAQv69oVBzYHv0/edit?usp=share_link"",""สตูล!I726"")+IMP"&amp;"ORTRANGE(""https://docs.google.com/spreadsheets/d/1vO9Sws6kMtrVtyvrAJptINXjK8TFBoX9xLYOVK_C8bQ/edit?usp=share_link"",""สุราษฎร์ธานี!I726"")"),37)</f>
        <v>37</v>
      </c>
      <c r="J726" s="37">
        <f ca="1">IFERROR(__xludf.DUMMYFUNCTION("IMPORTRANGE(""https://docs.google.com/spreadsheets/d/1kC41EOXpGBFOW658Fs3oD8beYlym0-zO54WY-2Qnp9I/edit?usp=share_link"",""กระบี่!J726"")
+IMPORTRANGE(""https://docs.google.com/spreadsheets/d/1FbzMZY_f3MDiEuK7RpCQKrilJ_kpX0Wm7QBZ1L7EjIU/edit?usp=share_link"&amp;""",""ชุมพร!J726"")+IMPORTRANGE(""https://docs.google.com/spreadsheets/d/1v5sN-00LrXuhBxw4dkh2GrG_z4l5oAqOdJRBCsUyMaM/edit?usp=share_link"",""ตรัง!J726"")+IMPORTRANGE(""https://docs.google.com/spreadsheets/d/1T5rRTzFc79aSIvqnzkZNvwPstq829QYz_xALlO1Z0s8/edi"&amp;"t?usp=share_link"",""นครศรีธรรมราช!J726"")+IMPORTRANGE(""https://docs.google.com/spreadsheets/d/1BeghqumK0IvCmRd2QOy6_afsZq7ZtAGrSnVJy2u7WmY/edit?usp=share_link"",""นราธิวาส!J726"")+IMPORTRANGE(""https://docs.google.com/spreadsheets/d/1IwnW3-jjRf74MCLW-6P"&amp;"iFwMUffRQXZwZA7YM609NmRc/edit?usp=share_link"",""ปัตตานี!J726"")+IMPORTRANGE(""https://docs.google.com/spreadsheets/d/1vl4QWbWdFruual5o_wdo6ZSqXZ_it806oja4CctTLKs/edit?usp=share_link"",""พังงา!J726"")+IMPORTRANGE(""https://docs.google.com/spreadsheets/d/1"&amp;"b6QssHQp2FoAPSMKHOy273KNzAomaIKhtdlvuZ_zDNE/edit?usp=share_link"",""พัทลุง!J726"")+IMPORTRANGE(""https://docs.google.com/spreadsheets/d/1o7UZe4_OqlqtLDHrj01Z2YFRSZDf1DMy1n3XViHaxRc/edit?usp=share_link"",""ภูเก็ต!J726"")+IMPORTRANGE(""https://docs.google.c"&amp;"om/spreadsheets/d/1ctPm1vUzcUCPuOj9-eoHUD85PqINFqUB0TjdSWmR5-c/edit?usp=share_link"",""ยะลา!J726"")+IMPORTRANGE(""https://docs.google.com/spreadsheets/d/1YiDIE7Klmt8osgdapRqYWNr7iPGFSsiJqq46S7PYRE0/edit?usp=share_link"",""ระนอง!J726"")+IMPORTRANGE(""https"&amp;"://docs.google.com/spreadsheets/d/16o_4B-V7AWw_6E93bSpXj_XxVv1oVQctk-B6z1dNEWU/edit?usp=share_link"",""สงขลา!J726"")+IMPORTRANGE(""https://docs.google.com/spreadsheets/d/16cywr71Fj4fA5OGRHsZh30ZG2gwJhMAQv69oVBzYHv0/edit?usp=share_link"",""สตูล!J726"")+IMP"&amp;"ORTRANGE(""https://docs.google.com/spreadsheets/d/1vO9Sws6kMtrVtyvrAJptINXjK8TFBoX9xLYOVK_C8bQ/edit?usp=share_link"",""สุราษฎร์ธานี!J726"")"),0)</f>
        <v>0</v>
      </c>
      <c r="K726" s="38">
        <f t="shared" ca="1" si="331"/>
        <v>0</v>
      </c>
      <c r="L726" s="38"/>
      <c r="M726" s="189"/>
      <c r="N726" s="765"/>
      <c r="O726" s="38"/>
      <c r="P726" s="3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20.25" customHeight="1">
      <c r="A727" s="743"/>
      <c r="B727" s="575"/>
      <c r="C727" s="575"/>
      <c r="D727" s="575"/>
      <c r="E727" s="575"/>
      <c r="F727" s="575"/>
      <c r="G727" s="189"/>
      <c r="H727" s="182" t="s">
        <v>34</v>
      </c>
      <c r="I727" s="764"/>
      <c r="J727" s="37">
        <f ca="1">IFERROR(__xludf.DUMMYFUNCTION("IMPORTRANGE(""https://docs.google.com/spreadsheets/d/1kC41EOXpGBFOW658Fs3oD8beYlym0-zO54WY-2Qnp9I/edit?usp=share_link"",""กระบี่!J727"")
+IMPORTRANGE(""https://docs.google.com/spreadsheets/d/1FbzMZY_f3MDiEuK7RpCQKrilJ_kpX0Wm7QBZ1L7EjIU/edit?usp=share_link"&amp;""",""ชุมพร!J727"")+IMPORTRANGE(""https://docs.google.com/spreadsheets/d/1v5sN-00LrXuhBxw4dkh2GrG_z4l5oAqOdJRBCsUyMaM/edit?usp=share_link"",""ตรัง!J727"")+IMPORTRANGE(""https://docs.google.com/spreadsheets/d/1T5rRTzFc79aSIvqnzkZNvwPstq829QYz_xALlO1Z0s8/edi"&amp;"t?usp=share_link"",""นครศรีธรรมราช!J727"")+IMPORTRANGE(""https://docs.google.com/spreadsheets/d/1BeghqumK0IvCmRd2QOy6_afsZq7ZtAGrSnVJy2u7WmY/edit?usp=share_link"",""นราธิวาส!J727"")+IMPORTRANGE(""https://docs.google.com/spreadsheets/d/1IwnW3-jjRf74MCLW-6P"&amp;"iFwMUffRQXZwZA7YM609NmRc/edit?usp=share_link"",""ปัตตานี!J727"")+IMPORTRANGE(""https://docs.google.com/spreadsheets/d/1vl4QWbWdFruual5o_wdo6ZSqXZ_it806oja4CctTLKs/edit?usp=share_link"",""พังงา!J727"")+IMPORTRANGE(""https://docs.google.com/spreadsheets/d/1"&amp;"b6QssHQp2FoAPSMKHOy273KNzAomaIKhtdlvuZ_zDNE/edit?usp=share_link"",""พัทลุง!J727"")+IMPORTRANGE(""https://docs.google.com/spreadsheets/d/1o7UZe4_OqlqtLDHrj01Z2YFRSZDf1DMy1n3XViHaxRc/edit?usp=share_link"",""ภูเก็ต!J727"")+IMPORTRANGE(""https://docs.google.c"&amp;"om/spreadsheets/d/1ctPm1vUzcUCPuOj9-eoHUD85PqINFqUB0TjdSWmR5-c/edit?usp=share_link"",""ยะลา!J727"")+IMPORTRANGE(""https://docs.google.com/spreadsheets/d/1YiDIE7Klmt8osgdapRqYWNr7iPGFSsiJqq46S7PYRE0/edit?usp=share_link"",""ระนอง!J727"")+IMPORTRANGE(""https"&amp;"://docs.google.com/spreadsheets/d/16o_4B-V7AWw_6E93bSpXj_XxVv1oVQctk-B6z1dNEWU/edit?usp=share_link"",""สงขลา!J727"")+IMPORTRANGE(""https://docs.google.com/spreadsheets/d/16cywr71Fj4fA5OGRHsZh30ZG2gwJhMAQv69oVBzYHv0/edit?usp=share_link"",""สตูล!J727"")+IMP"&amp;"ORTRANGE(""https://docs.google.com/spreadsheets/d/1vO9Sws6kMtrVtyvrAJptINXjK8TFBoX9xLYOVK_C8bQ/edit?usp=share_link"",""สุราษฎร์ธานี!J727"")"),0)</f>
        <v>0</v>
      </c>
      <c r="K727" s="38"/>
      <c r="L727" s="765"/>
      <c r="M727" s="189"/>
      <c r="N727" s="765"/>
      <c r="O727" s="38"/>
      <c r="P727" s="3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20.25" customHeight="1">
      <c r="A728" s="743"/>
      <c r="B728" s="575"/>
      <c r="C728" s="575"/>
      <c r="D728" s="575"/>
      <c r="E728" s="575"/>
      <c r="F728" s="575"/>
      <c r="G728" s="189"/>
      <c r="H728" s="182" t="s">
        <v>46</v>
      </c>
      <c r="I728" s="764">
        <f ca="1">IFERROR(__xludf.DUMMYFUNCTION("IMPORTRANGE(""https://docs.google.com/spreadsheets/d/1kC41EOXpGBFOW658Fs3oD8beYlym0-zO54WY-2Qnp9I/edit?usp=share_link"",""กระบี่!I728"")
+IMPORTRANGE(""https://docs.google.com/spreadsheets/d/1FbzMZY_f3MDiEuK7RpCQKrilJ_kpX0Wm7QBZ1L7EjIU/edit?usp=share_link"&amp;""",""ชุมพร!I728"")+IMPORTRANGE(""https://docs.google.com/spreadsheets/d/1v5sN-00LrXuhBxw4dkh2GrG_z4l5oAqOdJRBCsUyMaM/edit?usp=share_link"",""ตรัง!I728"")+IMPORTRANGE(""https://docs.google.com/spreadsheets/d/1T5rRTzFc79aSIvqnzkZNvwPstq829QYz_xALlO1Z0s8/edi"&amp;"t?usp=share_link"",""นครศรีธรรมราช!I728"")+IMPORTRANGE(""https://docs.google.com/spreadsheets/d/1BeghqumK0IvCmRd2QOy6_afsZq7ZtAGrSnVJy2u7WmY/edit?usp=share_link"",""นราธิวาส!I728"")+IMPORTRANGE(""https://docs.google.com/spreadsheets/d/1IwnW3-jjRf74MCLW-6P"&amp;"iFwMUffRQXZwZA7YM609NmRc/edit?usp=share_link"",""ปัตตานี!I728"")+IMPORTRANGE(""https://docs.google.com/spreadsheets/d/1vl4QWbWdFruual5o_wdo6ZSqXZ_it806oja4CctTLKs/edit?usp=share_link"",""พังงา!I728"")+IMPORTRANGE(""https://docs.google.com/spreadsheets/d/1"&amp;"b6QssHQp2FoAPSMKHOy273KNzAomaIKhtdlvuZ_zDNE/edit?usp=share_link"",""พัทลุง!I728"")+IMPORTRANGE(""https://docs.google.com/spreadsheets/d/1o7UZe4_OqlqtLDHrj01Z2YFRSZDf1DMy1n3XViHaxRc/edit?usp=share_link"",""ภูเก็ต!I728"")+IMPORTRANGE(""https://docs.google.c"&amp;"om/spreadsheets/d/1ctPm1vUzcUCPuOj9-eoHUD85PqINFqUB0TjdSWmR5-c/edit?usp=share_link"",""ยะลา!I728"")+IMPORTRANGE(""https://docs.google.com/spreadsheets/d/1YiDIE7Klmt8osgdapRqYWNr7iPGFSsiJqq46S7PYRE0/edit?usp=share_link"",""ระนอง!I728"")+IMPORTRANGE(""https"&amp;"://docs.google.com/spreadsheets/d/16o_4B-V7AWw_6E93bSpXj_XxVv1oVQctk-B6z1dNEWU/edit?usp=share_link"",""สงขลา!I728"")+IMPORTRANGE(""https://docs.google.com/spreadsheets/d/16cywr71Fj4fA5OGRHsZh30ZG2gwJhMAQv69oVBzYHv0/edit?usp=share_link"",""สตูล!I728"")+IMP"&amp;"ORTRANGE(""https://docs.google.com/spreadsheets/d/1vO9Sws6kMtrVtyvrAJptINXjK8TFBoX9xLYOVK_C8bQ/edit?usp=share_link"",""สุราษฎร์ธานี!I728"")"),120)</f>
        <v>120</v>
      </c>
      <c r="J728" s="37">
        <f ca="1">IFERROR(__xludf.DUMMYFUNCTION("IMPORTRANGE(""https://docs.google.com/spreadsheets/d/1kC41EOXpGBFOW658Fs3oD8beYlym0-zO54WY-2Qnp9I/edit?usp=share_link"",""กระบี่!J728"")
+IMPORTRANGE(""https://docs.google.com/spreadsheets/d/1FbzMZY_f3MDiEuK7RpCQKrilJ_kpX0Wm7QBZ1L7EjIU/edit?usp=share_link"&amp;""",""ชุมพร!J728"")+IMPORTRANGE(""https://docs.google.com/spreadsheets/d/1v5sN-00LrXuhBxw4dkh2GrG_z4l5oAqOdJRBCsUyMaM/edit?usp=share_link"",""ตรัง!J728"")+IMPORTRANGE(""https://docs.google.com/spreadsheets/d/1T5rRTzFc79aSIvqnzkZNvwPstq829QYz_xALlO1Z0s8/edi"&amp;"t?usp=share_link"",""นครศรีธรรมราช!J728"")+IMPORTRANGE(""https://docs.google.com/spreadsheets/d/1BeghqumK0IvCmRd2QOy6_afsZq7ZtAGrSnVJy2u7WmY/edit?usp=share_link"",""นราธิวาส!J728"")+IMPORTRANGE(""https://docs.google.com/spreadsheets/d/1IwnW3-jjRf74MCLW-6P"&amp;"iFwMUffRQXZwZA7YM609NmRc/edit?usp=share_link"",""ปัตตานี!J728"")+IMPORTRANGE(""https://docs.google.com/spreadsheets/d/1vl4QWbWdFruual5o_wdo6ZSqXZ_it806oja4CctTLKs/edit?usp=share_link"",""พังงา!J728"")+IMPORTRANGE(""https://docs.google.com/spreadsheets/d/1"&amp;"b6QssHQp2FoAPSMKHOy273KNzAomaIKhtdlvuZ_zDNE/edit?usp=share_link"",""พัทลุง!J728"")+IMPORTRANGE(""https://docs.google.com/spreadsheets/d/1o7UZe4_OqlqtLDHrj01Z2YFRSZDf1DMy1n3XViHaxRc/edit?usp=share_link"",""ภูเก็ต!J728"")+IMPORTRANGE(""https://docs.google.c"&amp;"om/spreadsheets/d/1ctPm1vUzcUCPuOj9-eoHUD85PqINFqUB0TjdSWmR5-c/edit?usp=share_link"",""ยะลา!J728"")+IMPORTRANGE(""https://docs.google.com/spreadsheets/d/1YiDIE7Klmt8osgdapRqYWNr7iPGFSsiJqq46S7PYRE0/edit?usp=share_link"",""ระนอง!J728"")+IMPORTRANGE(""https"&amp;"://docs.google.com/spreadsheets/d/16o_4B-V7AWw_6E93bSpXj_XxVv1oVQctk-B6z1dNEWU/edit?usp=share_link"",""สงขลา!J728"")+IMPORTRANGE(""https://docs.google.com/spreadsheets/d/16cywr71Fj4fA5OGRHsZh30ZG2gwJhMAQv69oVBzYHv0/edit?usp=share_link"",""สตูล!J728"")+IMP"&amp;"ORTRANGE(""https://docs.google.com/spreadsheets/d/1vO9Sws6kMtrVtyvrAJptINXjK8TFBoX9xLYOVK_C8bQ/edit?usp=share_link"",""สุราษฎร์ธานี!J728"")"),0)</f>
        <v>0</v>
      </c>
      <c r="K728" s="38">
        <f t="shared" ref="K728:K729" ca="1" si="332">IF(I728&gt;0,J728*100/I728,0)</f>
        <v>0</v>
      </c>
      <c r="L728" s="765"/>
      <c r="M728" s="189"/>
      <c r="N728" s="765"/>
      <c r="O728" s="38"/>
      <c r="P728" s="3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20.25" customHeight="1">
      <c r="A729" s="743"/>
      <c r="B729" s="575"/>
      <c r="C729" s="575"/>
      <c r="D729" s="576" t="s">
        <v>309</v>
      </c>
      <c r="E729" s="575"/>
      <c r="F729" s="575"/>
      <c r="G729" s="189"/>
      <c r="H729" s="192" t="s">
        <v>46</v>
      </c>
      <c r="I729" s="767">
        <f ca="1">IFERROR(__xludf.DUMMYFUNCTION("IMPORTRANGE(""https://docs.google.com/spreadsheets/d/1kC41EOXpGBFOW658Fs3oD8beYlym0-zO54WY-2Qnp9I/edit?usp=share_link"",""กระบี่!I729"")
+IMPORTRANGE(""https://docs.google.com/spreadsheets/d/1FbzMZY_f3MDiEuK7RpCQKrilJ_kpX0Wm7QBZ1L7EjIU/edit?usp=share_link"&amp;""",""ชุมพร!I729"")+IMPORTRANGE(""https://docs.google.com/spreadsheets/d/1v5sN-00LrXuhBxw4dkh2GrG_z4l5oAqOdJRBCsUyMaM/edit?usp=share_link"",""ตรัง!I729"")+IMPORTRANGE(""https://docs.google.com/spreadsheets/d/1T5rRTzFc79aSIvqnzkZNvwPstq829QYz_xALlO1Z0s8/edi"&amp;"t?usp=share_link"",""นครศรีธรรมราช!I729"")+IMPORTRANGE(""https://docs.google.com/spreadsheets/d/1BeghqumK0IvCmRd2QOy6_afsZq7ZtAGrSnVJy2u7WmY/edit?usp=share_link"",""นราธิวาส!I729"")+IMPORTRANGE(""https://docs.google.com/spreadsheets/d/1IwnW3-jjRf74MCLW-6P"&amp;"iFwMUffRQXZwZA7YM609NmRc/edit?usp=share_link"",""ปัตตานี!I729"")+IMPORTRANGE(""https://docs.google.com/spreadsheets/d/1vl4QWbWdFruual5o_wdo6ZSqXZ_it806oja4CctTLKs/edit?usp=share_link"",""พังงา!I729"")+IMPORTRANGE(""https://docs.google.com/spreadsheets/d/1"&amp;"b6QssHQp2FoAPSMKHOy273KNzAomaIKhtdlvuZ_zDNE/edit?usp=share_link"",""พัทลุง!I729"")+IMPORTRANGE(""https://docs.google.com/spreadsheets/d/1o7UZe4_OqlqtLDHrj01Z2YFRSZDf1DMy1n3XViHaxRc/edit?usp=share_link"",""ภูเก็ต!I729"")+IMPORTRANGE(""https://docs.google.c"&amp;"om/spreadsheets/d/1ctPm1vUzcUCPuOj9-eoHUD85PqINFqUB0TjdSWmR5-c/edit?usp=share_link"",""ยะลา!I729"")+IMPORTRANGE(""https://docs.google.com/spreadsheets/d/1YiDIE7Klmt8osgdapRqYWNr7iPGFSsiJqq46S7PYRE0/edit?usp=share_link"",""ระนอง!I729"")+IMPORTRANGE(""https"&amp;"://docs.google.com/spreadsheets/d/16o_4B-V7AWw_6E93bSpXj_XxVv1oVQctk-B6z1dNEWU/edit?usp=share_link"",""สงขลา!I729"")+IMPORTRANGE(""https://docs.google.com/spreadsheets/d/16cywr71Fj4fA5OGRHsZh30ZG2gwJhMAQv69oVBzYHv0/edit?usp=share_link"",""สตูล!I729"")+IMP"&amp;"ORTRANGE(""https://docs.google.com/spreadsheets/d/1vO9Sws6kMtrVtyvrAJptINXjK8TFBoX9xLYOVK_C8bQ/edit?usp=share_link"",""สุราษฎร์ธานี!I729"")"),0)</f>
        <v>0</v>
      </c>
      <c r="J729" s="194">
        <f ca="1">J732+J735</f>
        <v>0</v>
      </c>
      <c r="K729" s="195">
        <f t="shared" ca="1" si="332"/>
        <v>0</v>
      </c>
      <c r="L729" s="38"/>
      <c r="M729" s="189"/>
      <c r="N729" s="765"/>
      <c r="O729" s="38"/>
      <c r="P729" s="3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20.25" customHeight="1">
      <c r="A730" s="743"/>
      <c r="B730" s="575"/>
      <c r="C730" s="575"/>
      <c r="D730" s="575"/>
      <c r="E730" s="576" t="s">
        <v>310</v>
      </c>
      <c r="F730" s="575"/>
      <c r="G730" s="189"/>
      <c r="H730" s="182" t="s">
        <v>35</v>
      </c>
      <c r="I730" s="764"/>
      <c r="J730" s="183">
        <f ca="1">IFERROR(__xludf.DUMMYFUNCTION("IMPORTRANGE(""https://docs.google.com/spreadsheets/d/1kC41EOXpGBFOW658Fs3oD8beYlym0-zO54WY-2Qnp9I/edit?usp=share_link"",""กระบี่!J730"")
+IMPORTRANGE(""https://docs.google.com/spreadsheets/d/1FbzMZY_f3MDiEuK7RpCQKrilJ_kpX0Wm7QBZ1L7EjIU/edit?usp=share_link"&amp;""",""ชุมพร!J730"")+IMPORTRANGE(""https://docs.google.com/spreadsheets/d/1v5sN-00LrXuhBxw4dkh2GrG_z4l5oAqOdJRBCsUyMaM/edit?usp=share_link"",""ตรัง!J730"")+IMPORTRANGE(""https://docs.google.com/spreadsheets/d/1T5rRTzFc79aSIvqnzkZNvwPstq829QYz_xALlO1Z0s8/edi"&amp;"t?usp=share_link"",""นครศรีธรรมราช!J730"")+IMPORTRANGE(""https://docs.google.com/spreadsheets/d/1BeghqumK0IvCmRd2QOy6_afsZq7ZtAGrSnVJy2u7WmY/edit?usp=share_link"",""นราธิวาส!J730"")+IMPORTRANGE(""https://docs.google.com/spreadsheets/d/1IwnW3-jjRf74MCLW-6P"&amp;"iFwMUffRQXZwZA7YM609NmRc/edit?usp=share_link"",""ปัตตานี!J730"")+IMPORTRANGE(""https://docs.google.com/spreadsheets/d/1vl4QWbWdFruual5o_wdo6ZSqXZ_it806oja4CctTLKs/edit?usp=share_link"",""พังงา!J730"")+IMPORTRANGE(""https://docs.google.com/spreadsheets/d/1"&amp;"b6QssHQp2FoAPSMKHOy273KNzAomaIKhtdlvuZ_zDNE/edit?usp=share_link"",""พัทลุง!J730"")+IMPORTRANGE(""https://docs.google.com/spreadsheets/d/1o7UZe4_OqlqtLDHrj01Z2YFRSZDf1DMy1n3XViHaxRc/edit?usp=share_link"",""ภูเก็ต!J730"")+IMPORTRANGE(""https://docs.google.c"&amp;"om/spreadsheets/d/1ctPm1vUzcUCPuOj9-eoHUD85PqINFqUB0TjdSWmR5-c/edit?usp=share_link"",""ยะลา!J730"")+IMPORTRANGE(""https://docs.google.com/spreadsheets/d/1YiDIE7Klmt8osgdapRqYWNr7iPGFSsiJqq46S7PYRE0/edit?usp=share_link"",""ระนอง!J730"")+IMPORTRANGE(""https"&amp;"://docs.google.com/spreadsheets/d/16o_4B-V7AWw_6E93bSpXj_XxVv1oVQctk-B6z1dNEWU/edit?usp=share_link"",""สงขลา!J730"")+IMPORTRANGE(""https://docs.google.com/spreadsheets/d/16cywr71Fj4fA5OGRHsZh30ZG2gwJhMAQv69oVBzYHv0/edit?usp=share_link"",""สตูล!J730"")+IMP"&amp;"ORTRANGE(""https://docs.google.com/spreadsheets/d/1vO9Sws6kMtrVtyvrAJptINXjK8TFBoX9xLYOVK_C8bQ/edit?usp=share_link"",""สุราษฎร์ธานี!J730"")"),0)</f>
        <v>0</v>
      </c>
      <c r="K730" s="38"/>
      <c r="L730" s="765"/>
      <c r="M730" s="38"/>
      <c r="N730" s="765"/>
      <c r="O730" s="38"/>
      <c r="P730" s="3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20.25" customHeight="1">
      <c r="A731" s="743"/>
      <c r="B731" s="575"/>
      <c r="C731" s="575"/>
      <c r="D731" s="575"/>
      <c r="E731" s="575"/>
      <c r="F731" s="575"/>
      <c r="G731" s="189"/>
      <c r="H731" s="182" t="s">
        <v>34</v>
      </c>
      <c r="I731" s="764"/>
      <c r="J731" s="183">
        <f ca="1">IFERROR(__xludf.DUMMYFUNCTION("IMPORTRANGE(""https://docs.google.com/spreadsheets/d/1kC41EOXpGBFOW658Fs3oD8beYlym0-zO54WY-2Qnp9I/edit?usp=share_link"",""กระบี่!J731"")
+IMPORTRANGE(""https://docs.google.com/spreadsheets/d/1FbzMZY_f3MDiEuK7RpCQKrilJ_kpX0Wm7QBZ1L7EjIU/edit?usp=share_link"&amp;""",""ชุมพร!J731"")+IMPORTRANGE(""https://docs.google.com/spreadsheets/d/1v5sN-00LrXuhBxw4dkh2GrG_z4l5oAqOdJRBCsUyMaM/edit?usp=share_link"",""ตรัง!J731"")+IMPORTRANGE(""https://docs.google.com/spreadsheets/d/1T5rRTzFc79aSIvqnzkZNvwPstq829QYz_xALlO1Z0s8/edi"&amp;"t?usp=share_link"",""นครศรีธรรมราช!J731"")+IMPORTRANGE(""https://docs.google.com/spreadsheets/d/1BeghqumK0IvCmRd2QOy6_afsZq7ZtAGrSnVJy2u7WmY/edit?usp=share_link"",""นราธิวาส!J731"")+IMPORTRANGE(""https://docs.google.com/spreadsheets/d/1IwnW3-jjRf74MCLW-6P"&amp;"iFwMUffRQXZwZA7YM609NmRc/edit?usp=share_link"",""ปัตตานี!J731"")+IMPORTRANGE(""https://docs.google.com/spreadsheets/d/1vl4QWbWdFruual5o_wdo6ZSqXZ_it806oja4CctTLKs/edit?usp=share_link"",""พังงา!J731"")+IMPORTRANGE(""https://docs.google.com/spreadsheets/d/1"&amp;"b6QssHQp2FoAPSMKHOy273KNzAomaIKhtdlvuZ_zDNE/edit?usp=share_link"",""พัทลุง!J731"")+IMPORTRANGE(""https://docs.google.com/spreadsheets/d/1o7UZe4_OqlqtLDHrj01Z2YFRSZDf1DMy1n3XViHaxRc/edit?usp=share_link"",""ภูเก็ต!J731"")+IMPORTRANGE(""https://docs.google.c"&amp;"om/spreadsheets/d/1ctPm1vUzcUCPuOj9-eoHUD85PqINFqUB0TjdSWmR5-c/edit?usp=share_link"",""ยะลา!J731"")+IMPORTRANGE(""https://docs.google.com/spreadsheets/d/1YiDIE7Klmt8osgdapRqYWNr7iPGFSsiJqq46S7PYRE0/edit?usp=share_link"",""ระนอง!J731"")+IMPORTRANGE(""https"&amp;"://docs.google.com/spreadsheets/d/16o_4B-V7AWw_6E93bSpXj_XxVv1oVQctk-B6z1dNEWU/edit?usp=share_link"",""สงขลา!J731"")+IMPORTRANGE(""https://docs.google.com/spreadsheets/d/16cywr71Fj4fA5OGRHsZh30ZG2gwJhMAQv69oVBzYHv0/edit?usp=share_link"",""สตูล!J731"")+IMP"&amp;"ORTRANGE(""https://docs.google.com/spreadsheets/d/1vO9Sws6kMtrVtyvrAJptINXjK8TFBoX9xLYOVK_C8bQ/edit?usp=share_link"",""สุราษฎร์ธานี!J731"")"),0)</f>
        <v>0</v>
      </c>
      <c r="K731" s="38"/>
      <c r="L731" s="765"/>
      <c r="M731" s="38"/>
      <c r="N731" s="765"/>
      <c r="O731" s="38"/>
      <c r="P731" s="3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20.25" customHeight="1">
      <c r="A732" s="743"/>
      <c r="B732" s="575"/>
      <c r="C732" s="575"/>
      <c r="D732" s="575"/>
      <c r="E732" s="575"/>
      <c r="F732" s="575"/>
      <c r="G732" s="189"/>
      <c r="H732" s="182" t="s">
        <v>46</v>
      </c>
      <c r="I732" s="764"/>
      <c r="J732" s="183">
        <f ca="1">IFERROR(__xludf.DUMMYFUNCTION("IMPORTRANGE(""https://docs.google.com/spreadsheets/d/1kC41EOXpGBFOW658Fs3oD8beYlym0-zO54WY-2Qnp9I/edit?usp=share_link"",""กระบี่!J732"")
+IMPORTRANGE(""https://docs.google.com/spreadsheets/d/1FbzMZY_f3MDiEuK7RpCQKrilJ_kpX0Wm7QBZ1L7EjIU/edit?usp=share_link"&amp;""",""ชุมพร!J732"")+IMPORTRANGE(""https://docs.google.com/spreadsheets/d/1v5sN-00LrXuhBxw4dkh2GrG_z4l5oAqOdJRBCsUyMaM/edit?usp=share_link"",""ตรัง!J732"")+IMPORTRANGE(""https://docs.google.com/spreadsheets/d/1T5rRTzFc79aSIvqnzkZNvwPstq829QYz_xALlO1Z0s8/edi"&amp;"t?usp=share_link"",""นครศรีธรรมราช!J732"")+IMPORTRANGE(""https://docs.google.com/spreadsheets/d/1BeghqumK0IvCmRd2QOy6_afsZq7ZtAGrSnVJy2u7WmY/edit?usp=share_link"",""นราธิวาส!J732"")+IMPORTRANGE(""https://docs.google.com/spreadsheets/d/1IwnW3-jjRf74MCLW-6P"&amp;"iFwMUffRQXZwZA7YM609NmRc/edit?usp=share_link"",""ปัตตานี!J732"")+IMPORTRANGE(""https://docs.google.com/spreadsheets/d/1vl4QWbWdFruual5o_wdo6ZSqXZ_it806oja4CctTLKs/edit?usp=share_link"",""พังงา!J732"")+IMPORTRANGE(""https://docs.google.com/spreadsheets/d/1"&amp;"b6QssHQp2FoAPSMKHOy273KNzAomaIKhtdlvuZ_zDNE/edit?usp=share_link"",""พัทลุง!J732"")+IMPORTRANGE(""https://docs.google.com/spreadsheets/d/1o7UZe4_OqlqtLDHrj01Z2YFRSZDf1DMy1n3XViHaxRc/edit?usp=share_link"",""ภูเก็ต!J732"")+IMPORTRANGE(""https://docs.google.c"&amp;"om/spreadsheets/d/1ctPm1vUzcUCPuOj9-eoHUD85PqINFqUB0TjdSWmR5-c/edit?usp=share_link"",""ยะลา!J732"")+IMPORTRANGE(""https://docs.google.com/spreadsheets/d/1YiDIE7Klmt8osgdapRqYWNr7iPGFSsiJqq46S7PYRE0/edit?usp=share_link"",""ระนอง!J732"")+IMPORTRANGE(""https"&amp;"://docs.google.com/spreadsheets/d/16o_4B-V7AWw_6E93bSpXj_XxVv1oVQctk-B6z1dNEWU/edit?usp=share_link"",""สงขลา!J732"")+IMPORTRANGE(""https://docs.google.com/spreadsheets/d/16cywr71Fj4fA5OGRHsZh30ZG2gwJhMAQv69oVBzYHv0/edit?usp=share_link"",""สตูล!J732"")+IMP"&amp;"ORTRANGE(""https://docs.google.com/spreadsheets/d/1vO9Sws6kMtrVtyvrAJptINXjK8TFBoX9xLYOVK_C8bQ/edit?usp=share_link"",""สุราษฎร์ธานี!J732"")"),0)</f>
        <v>0</v>
      </c>
      <c r="K732" s="38"/>
      <c r="L732" s="765"/>
      <c r="M732" s="38"/>
      <c r="N732" s="765"/>
      <c r="O732" s="38"/>
      <c r="P732" s="3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20.25" customHeight="1">
      <c r="A733" s="743"/>
      <c r="B733" s="575"/>
      <c r="C733" s="575"/>
      <c r="D733" s="575"/>
      <c r="E733" s="576" t="s">
        <v>311</v>
      </c>
      <c r="F733" s="575"/>
      <c r="G733" s="189"/>
      <c r="H733" s="182" t="s">
        <v>35</v>
      </c>
      <c r="I733" s="764"/>
      <c r="J733" s="183">
        <f ca="1">IFERROR(__xludf.DUMMYFUNCTION("IMPORTRANGE(""https://docs.google.com/spreadsheets/d/1kC41EOXpGBFOW658Fs3oD8beYlym0-zO54WY-2Qnp9I/edit?usp=share_link"",""กระบี่!J733"")
+IMPORTRANGE(""https://docs.google.com/spreadsheets/d/1FbzMZY_f3MDiEuK7RpCQKrilJ_kpX0Wm7QBZ1L7EjIU/edit?usp=share_link"&amp;""",""ชุมพร!J733"")+IMPORTRANGE(""https://docs.google.com/spreadsheets/d/1v5sN-00LrXuhBxw4dkh2GrG_z4l5oAqOdJRBCsUyMaM/edit?usp=share_link"",""ตรัง!J733"")+IMPORTRANGE(""https://docs.google.com/spreadsheets/d/1T5rRTzFc79aSIvqnzkZNvwPstq829QYz_xALlO1Z0s8/edi"&amp;"t?usp=share_link"",""นครศรีธรรมราช!J733"")+IMPORTRANGE(""https://docs.google.com/spreadsheets/d/1BeghqumK0IvCmRd2QOy6_afsZq7ZtAGrSnVJy2u7WmY/edit?usp=share_link"",""นราธิวาส!J733"")+IMPORTRANGE(""https://docs.google.com/spreadsheets/d/1IwnW3-jjRf74MCLW-6P"&amp;"iFwMUffRQXZwZA7YM609NmRc/edit?usp=share_link"",""ปัตตานี!J733"")+IMPORTRANGE(""https://docs.google.com/spreadsheets/d/1vl4QWbWdFruual5o_wdo6ZSqXZ_it806oja4CctTLKs/edit?usp=share_link"",""พังงา!J733"")+IMPORTRANGE(""https://docs.google.com/spreadsheets/d/1"&amp;"b6QssHQp2FoAPSMKHOy273KNzAomaIKhtdlvuZ_zDNE/edit?usp=share_link"",""พัทลุง!J733"")+IMPORTRANGE(""https://docs.google.com/spreadsheets/d/1o7UZe4_OqlqtLDHrj01Z2YFRSZDf1DMy1n3XViHaxRc/edit?usp=share_link"",""ภูเก็ต!J733"")+IMPORTRANGE(""https://docs.google.c"&amp;"om/spreadsheets/d/1ctPm1vUzcUCPuOj9-eoHUD85PqINFqUB0TjdSWmR5-c/edit?usp=share_link"",""ยะลา!J733"")+IMPORTRANGE(""https://docs.google.com/spreadsheets/d/1YiDIE7Klmt8osgdapRqYWNr7iPGFSsiJqq46S7PYRE0/edit?usp=share_link"",""ระนอง!J733"")+IMPORTRANGE(""https"&amp;"://docs.google.com/spreadsheets/d/16o_4B-V7AWw_6E93bSpXj_XxVv1oVQctk-B6z1dNEWU/edit?usp=share_link"",""สงขลา!J733"")+IMPORTRANGE(""https://docs.google.com/spreadsheets/d/16cywr71Fj4fA5OGRHsZh30ZG2gwJhMAQv69oVBzYHv0/edit?usp=share_link"",""สตูล!J733"")+IMP"&amp;"ORTRANGE(""https://docs.google.com/spreadsheets/d/1vO9Sws6kMtrVtyvrAJptINXjK8TFBoX9xLYOVK_C8bQ/edit?usp=share_link"",""สุราษฎร์ธานี!J733"")"),0)</f>
        <v>0</v>
      </c>
      <c r="K733" s="38"/>
      <c r="L733" s="765"/>
      <c r="M733" s="38"/>
      <c r="N733" s="765"/>
      <c r="O733" s="38"/>
      <c r="P733" s="3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20.25" customHeight="1">
      <c r="A734" s="743"/>
      <c r="B734" s="575"/>
      <c r="C734" s="575"/>
      <c r="D734" s="575"/>
      <c r="E734" s="575"/>
      <c r="F734" s="575"/>
      <c r="G734" s="189"/>
      <c r="H734" s="182" t="s">
        <v>34</v>
      </c>
      <c r="I734" s="764"/>
      <c r="J734" s="183">
        <f ca="1">IFERROR(__xludf.DUMMYFUNCTION("IMPORTRANGE(""https://docs.google.com/spreadsheets/d/1kC41EOXpGBFOW658Fs3oD8beYlym0-zO54WY-2Qnp9I/edit?usp=share_link"",""กระบี่!J734"")
+IMPORTRANGE(""https://docs.google.com/spreadsheets/d/1FbzMZY_f3MDiEuK7RpCQKrilJ_kpX0Wm7QBZ1L7EjIU/edit?usp=share_link"&amp;""",""ชุมพร!J734"")+IMPORTRANGE(""https://docs.google.com/spreadsheets/d/1v5sN-00LrXuhBxw4dkh2GrG_z4l5oAqOdJRBCsUyMaM/edit?usp=share_link"",""ตรัง!J734"")+IMPORTRANGE(""https://docs.google.com/spreadsheets/d/1T5rRTzFc79aSIvqnzkZNvwPstq829QYz_xALlO1Z0s8/edi"&amp;"t?usp=share_link"",""นครศรีธรรมราช!J734"")+IMPORTRANGE(""https://docs.google.com/spreadsheets/d/1BeghqumK0IvCmRd2QOy6_afsZq7ZtAGrSnVJy2u7WmY/edit?usp=share_link"",""นราธิวาส!J734"")+IMPORTRANGE(""https://docs.google.com/spreadsheets/d/1IwnW3-jjRf74MCLW-6P"&amp;"iFwMUffRQXZwZA7YM609NmRc/edit?usp=share_link"",""ปัตตานี!J734"")+IMPORTRANGE(""https://docs.google.com/spreadsheets/d/1vl4QWbWdFruual5o_wdo6ZSqXZ_it806oja4CctTLKs/edit?usp=share_link"",""พังงา!J734"")+IMPORTRANGE(""https://docs.google.com/spreadsheets/d/1"&amp;"b6QssHQp2FoAPSMKHOy273KNzAomaIKhtdlvuZ_zDNE/edit?usp=share_link"",""พัทลุง!J734"")+IMPORTRANGE(""https://docs.google.com/spreadsheets/d/1o7UZe4_OqlqtLDHrj01Z2YFRSZDf1DMy1n3XViHaxRc/edit?usp=share_link"",""ภูเก็ต!J734"")+IMPORTRANGE(""https://docs.google.c"&amp;"om/spreadsheets/d/1ctPm1vUzcUCPuOj9-eoHUD85PqINFqUB0TjdSWmR5-c/edit?usp=share_link"",""ยะลา!J734"")+IMPORTRANGE(""https://docs.google.com/spreadsheets/d/1YiDIE7Klmt8osgdapRqYWNr7iPGFSsiJqq46S7PYRE0/edit?usp=share_link"",""ระนอง!J734"")+IMPORTRANGE(""https"&amp;"://docs.google.com/spreadsheets/d/16o_4B-V7AWw_6E93bSpXj_XxVv1oVQctk-B6z1dNEWU/edit?usp=share_link"",""สงขลา!J734"")+IMPORTRANGE(""https://docs.google.com/spreadsheets/d/16cywr71Fj4fA5OGRHsZh30ZG2gwJhMAQv69oVBzYHv0/edit?usp=share_link"",""สตูล!J734"")+IMP"&amp;"ORTRANGE(""https://docs.google.com/spreadsheets/d/1vO9Sws6kMtrVtyvrAJptINXjK8TFBoX9xLYOVK_C8bQ/edit?usp=share_link"",""สุราษฎร์ธานี!J734"")"),0)</f>
        <v>0</v>
      </c>
      <c r="K734" s="38"/>
      <c r="L734" s="765"/>
      <c r="M734" s="38"/>
      <c r="N734" s="765"/>
      <c r="O734" s="38"/>
      <c r="P734" s="3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20.25" customHeight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f ca="1">IFERROR(__xludf.DUMMYFUNCTION("IMPORTRANGE(""https://docs.google.com/spreadsheets/d/1kC41EOXpGBFOW658Fs3oD8beYlym0-zO54WY-2Qnp9I/edit?usp=share_link"",""กระบี่!J735"")
+IMPORTRANGE(""https://docs.google.com/spreadsheets/d/1FbzMZY_f3MDiEuK7RpCQKrilJ_kpX0Wm7QBZ1L7EjIU/edit?usp=share_link"&amp;""",""ชุมพร!J735"")+IMPORTRANGE(""https://docs.google.com/spreadsheets/d/1v5sN-00LrXuhBxw4dkh2GrG_z4l5oAqOdJRBCsUyMaM/edit?usp=share_link"",""ตรัง!J735"")+IMPORTRANGE(""https://docs.google.com/spreadsheets/d/1T5rRTzFc79aSIvqnzkZNvwPstq829QYz_xALlO1Z0s8/edi"&amp;"t?usp=share_link"",""นครศรีธรรมราช!J735"")+IMPORTRANGE(""https://docs.google.com/spreadsheets/d/1BeghqumK0IvCmRd2QOy6_afsZq7ZtAGrSnVJy2u7WmY/edit?usp=share_link"",""นราธิวาส!J735"")+IMPORTRANGE(""https://docs.google.com/spreadsheets/d/1IwnW3-jjRf74MCLW-6P"&amp;"iFwMUffRQXZwZA7YM609NmRc/edit?usp=share_link"",""ปัตตานี!J735"")+IMPORTRANGE(""https://docs.google.com/spreadsheets/d/1vl4QWbWdFruual5o_wdo6ZSqXZ_it806oja4CctTLKs/edit?usp=share_link"",""พังงา!J735"")+IMPORTRANGE(""https://docs.google.com/spreadsheets/d/1"&amp;"b6QssHQp2FoAPSMKHOy273KNzAomaIKhtdlvuZ_zDNE/edit?usp=share_link"",""พัทลุง!J735"")+IMPORTRANGE(""https://docs.google.com/spreadsheets/d/1o7UZe4_OqlqtLDHrj01Z2YFRSZDf1DMy1n3XViHaxRc/edit?usp=share_link"",""ภูเก็ต!J735"")+IMPORTRANGE(""https://docs.google.c"&amp;"om/spreadsheets/d/1ctPm1vUzcUCPuOj9-eoHUD85PqINFqUB0TjdSWmR5-c/edit?usp=share_link"",""ยะลา!J735"")+IMPORTRANGE(""https://docs.google.com/spreadsheets/d/1YiDIE7Klmt8osgdapRqYWNr7iPGFSsiJqq46S7PYRE0/edit?usp=share_link"",""ระนอง!J735"")+IMPORTRANGE(""https"&amp;"://docs.google.com/spreadsheets/d/16o_4B-V7AWw_6E93bSpXj_XxVv1oVQctk-B6z1dNEWU/edit?usp=share_link"",""สงขลา!J735"")+IMPORTRANGE(""https://docs.google.com/spreadsheets/d/16cywr71Fj4fA5OGRHsZh30ZG2gwJhMAQv69oVBzYHv0/edit?usp=share_link"",""สตูล!J735"")+IMP"&amp;"ORTRANGE(""https://docs.google.com/spreadsheets/d/1vO9Sws6kMtrVtyvrAJptINXjK8TFBoX9xLYOVK_C8bQ/edit?usp=share_link"",""สุราษฎร์ธานี!J735"")"),0)</f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20.25" hidden="1" customHeight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20.25" hidden="1" customHeight="1">
      <c r="A737" s="598"/>
      <c r="B737" s="599"/>
      <c r="C737" s="599" t="s">
        <v>16</v>
      </c>
      <c r="D737" s="849" t="s">
        <v>17</v>
      </c>
      <c r="E737" s="842"/>
      <c r="F737" s="842"/>
      <c r="G737" s="602"/>
      <c r="H737" s="645" t="s">
        <v>12</v>
      </c>
      <c r="I737" s="44"/>
      <c r="J737" s="44"/>
      <c r="K737" s="45"/>
      <c r="L737" s="646">
        <f t="shared" ref="L737:N737" si="333">L738+L739</f>
        <v>0</v>
      </c>
      <c r="M737" s="646">
        <f t="shared" si="333"/>
        <v>0</v>
      </c>
      <c r="N737" s="646">
        <f t="shared" si="333"/>
        <v>0</v>
      </c>
      <c r="O737" s="646">
        <f t="shared" ref="O737:O742" si="334">IF(L737&gt;0,N737*100/L737,0)</f>
        <v>0</v>
      </c>
      <c r="P737" s="646">
        <f t="shared" ref="P737:P742" si="33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20.25" hidden="1" customHeight="1">
      <c r="A738" s="598"/>
      <c r="B738" s="599"/>
      <c r="C738" s="599"/>
      <c r="D738" s="600"/>
      <c r="E738" s="601" t="s">
        <v>185</v>
      </c>
      <c r="F738" s="599"/>
      <c r="G738" s="602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20.25" hidden="1" customHeight="1">
      <c r="A739" s="598"/>
      <c r="B739" s="604"/>
      <c r="C739" s="599"/>
      <c r="D739" s="600"/>
      <c r="E739" s="601" t="s">
        <v>186</v>
      </c>
      <c r="F739" s="599"/>
      <c r="G739" s="602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20.25" hidden="1" customHeight="1">
      <c r="A740" s="598"/>
      <c r="B740" s="604"/>
      <c r="C740" s="599"/>
      <c r="D740" s="781" t="s">
        <v>20</v>
      </c>
      <c r="E740" s="599"/>
      <c r="F740" s="599"/>
      <c r="G740" s="602"/>
      <c r="H740" s="645" t="s">
        <v>12</v>
      </c>
      <c r="I740" s="166"/>
      <c r="J740" s="166"/>
      <c r="K740" s="167"/>
      <c r="L740" s="646">
        <f t="shared" ref="L740:N740" si="338">L741+L742</f>
        <v>0</v>
      </c>
      <c r="M740" s="646">
        <f t="shared" si="338"/>
        <v>0</v>
      </c>
      <c r="N740" s="646">
        <f t="shared" si="338"/>
        <v>0</v>
      </c>
      <c r="O740" s="646">
        <f t="shared" si="334"/>
        <v>0</v>
      </c>
      <c r="P740" s="646">
        <f t="shared" si="33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20.25" hidden="1" customHeight="1">
      <c r="A741" s="598"/>
      <c r="B741" s="604"/>
      <c r="C741" s="599"/>
      <c r="D741" s="600"/>
      <c r="E741" s="601" t="s">
        <v>185</v>
      </c>
      <c r="F741" s="599"/>
      <c r="G741" s="602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20.25" hidden="1" customHeight="1">
      <c r="A742" s="598"/>
      <c r="B742" s="604"/>
      <c r="C742" s="599"/>
      <c r="D742" s="600"/>
      <c r="E742" s="601" t="s">
        <v>186</v>
      </c>
      <c r="F742" s="599"/>
      <c r="G742" s="602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20.25" hidden="1" customHeight="1">
      <c r="A743" s="648"/>
      <c r="B743" s="604"/>
      <c r="C743" s="599"/>
      <c r="D743" s="599"/>
      <c r="E743" s="599"/>
      <c r="F743" s="601" t="s">
        <v>187</v>
      </c>
      <c r="G743" s="602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20.25" hidden="1" customHeight="1">
      <c r="A744" s="648"/>
      <c r="B744" s="604"/>
      <c r="C744" s="599"/>
      <c r="D744" s="599"/>
      <c r="E744" s="599"/>
      <c r="F744" s="601" t="s">
        <v>188</v>
      </c>
      <c r="G744" s="602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20.25" hidden="1" customHeight="1">
      <c r="A745" s="648"/>
      <c r="B745" s="604"/>
      <c r="C745" s="599"/>
      <c r="D745" s="599"/>
      <c r="E745" s="599"/>
      <c r="F745" s="601" t="s">
        <v>189</v>
      </c>
      <c r="G745" s="602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20.25" hidden="1" customHeight="1">
      <c r="A746" s="648"/>
      <c r="B746" s="604"/>
      <c r="C746" s="599"/>
      <c r="D746" s="599"/>
      <c r="E746" s="599"/>
      <c r="F746" s="601" t="s">
        <v>190</v>
      </c>
      <c r="G746" s="602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20.25" hidden="1" customHeight="1">
      <c r="A747" s="598"/>
      <c r="B747" s="604"/>
      <c r="C747" s="599"/>
      <c r="D747" s="781" t="s">
        <v>21</v>
      </c>
      <c r="E747" s="599"/>
      <c r="F747" s="599"/>
      <c r="G747" s="602"/>
      <c r="H747" s="782" t="s">
        <v>12</v>
      </c>
      <c r="I747" s="166"/>
      <c r="J747" s="166"/>
      <c r="K747" s="167"/>
      <c r="L747" s="646">
        <f t="shared" ref="L747:N747" si="339">L748+L749</f>
        <v>0</v>
      </c>
      <c r="M747" s="646">
        <f t="shared" si="339"/>
        <v>0</v>
      </c>
      <c r="N747" s="646">
        <f t="shared" si="339"/>
        <v>0</v>
      </c>
      <c r="O747" s="646">
        <f t="shared" ref="O747:O749" si="340">IF(L747&gt;0,N747*100/L747,0)</f>
        <v>0</v>
      </c>
      <c r="P747" s="646">
        <f t="shared" ref="P747:P749" si="34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20.25" hidden="1" customHeight="1">
      <c r="A748" s="598"/>
      <c r="B748" s="604"/>
      <c r="C748" s="599"/>
      <c r="D748" s="599"/>
      <c r="E748" s="601" t="s">
        <v>18</v>
      </c>
      <c r="F748" s="599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20.25" hidden="1" customHeight="1">
      <c r="A749" s="598"/>
      <c r="B749" s="604"/>
      <c r="C749" s="599"/>
      <c r="D749" s="599"/>
      <c r="E749" s="601" t="s">
        <v>19</v>
      </c>
      <c r="F749" s="599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20.25" hidden="1" customHeight="1">
      <c r="A750" s="613"/>
      <c r="B750" s="614"/>
      <c r="C750" s="599" t="s">
        <v>16</v>
      </c>
      <c r="D750" s="7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20.25" hidden="1" customHeight="1">
      <c r="A751" s="648"/>
      <c r="B751" s="604"/>
      <c r="C751" s="599"/>
      <c r="D751" s="599"/>
      <c r="E751" s="601" t="s">
        <v>314</v>
      </c>
      <c r="F751" s="599"/>
      <c r="G751" s="602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20.25" hidden="1" customHeight="1">
      <c r="A752" s="648"/>
      <c r="B752" s="604"/>
      <c r="C752" s="599"/>
      <c r="D752" s="599"/>
      <c r="E752" s="599"/>
      <c r="F752" s="599"/>
      <c r="G752" s="602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20.25" hidden="1" customHeight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20.25" hidden="1" customHeight="1">
      <c r="A754" s="598"/>
      <c r="B754" s="599"/>
      <c r="C754" s="599" t="s">
        <v>16</v>
      </c>
      <c r="D754" s="849" t="s">
        <v>17</v>
      </c>
      <c r="E754" s="842"/>
      <c r="F754" s="842"/>
      <c r="G754" s="602"/>
      <c r="H754" s="645" t="s">
        <v>12</v>
      </c>
      <c r="I754" s="44"/>
      <c r="J754" s="44"/>
      <c r="K754" s="45"/>
      <c r="L754" s="646">
        <f t="shared" ref="L754:N754" si="342">L755+L756</f>
        <v>0</v>
      </c>
      <c r="M754" s="646">
        <f t="shared" si="342"/>
        <v>0</v>
      </c>
      <c r="N754" s="646">
        <f t="shared" si="342"/>
        <v>0</v>
      </c>
      <c r="O754" s="646">
        <f t="shared" ref="O754:O759" si="343">IF(L754&gt;0,N754*100/L754,0)</f>
        <v>0</v>
      </c>
      <c r="P754" s="646">
        <f t="shared" ref="P754:P759" si="34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20.25" hidden="1" customHeight="1">
      <c r="A755" s="598"/>
      <c r="B755" s="599"/>
      <c r="C755" s="599"/>
      <c r="D755" s="600"/>
      <c r="E755" s="601" t="s">
        <v>185</v>
      </c>
      <c r="F755" s="599"/>
      <c r="G755" s="602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20.25" hidden="1" customHeight="1">
      <c r="A756" s="598"/>
      <c r="B756" s="604"/>
      <c r="C756" s="599"/>
      <c r="D756" s="600"/>
      <c r="E756" s="601" t="s">
        <v>186</v>
      </c>
      <c r="F756" s="599"/>
      <c r="G756" s="602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20.25" hidden="1" customHeight="1">
      <c r="A757" s="598"/>
      <c r="B757" s="604"/>
      <c r="C757" s="599"/>
      <c r="D757" s="781" t="s">
        <v>20</v>
      </c>
      <c r="E757" s="599"/>
      <c r="F757" s="599"/>
      <c r="G757" s="602"/>
      <c r="H757" s="645" t="s">
        <v>12</v>
      </c>
      <c r="I757" s="166"/>
      <c r="J757" s="166"/>
      <c r="K757" s="167"/>
      <c r="L757" s="646">
        <f t="shared" ref="L757:N757" si="347">L758+L759</f>
        <v>0</v>
      </c>
      <c r="M757" s="646">
        <f t="shared" si="347"/>
        <v>0</v>
      </c>
      <c r="N757" s="646">
        <f t="shared" si="347"/>
        <v>0</v>
      </c>
      <c r="O757" s="646">
        <f t="shared" si="343"/>
        <v>0</v>
      </c>
      <c r="P757" s="646">
        <f t="shared" si="34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20.25" hidden="1" customHeight="1">
      <c r="A758" s="598"/>
      <c r="B758" s="604"/>
      <c r="C758" s="599"/>
      <c r="D758" s="600"/>
      <c r="E758" s="601" t="s">
        <v>185</v>
      </c>
      <c r="F758" s="599"/>
      <c r="G758" s="602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20.25" hidden="1" customHeight="1">
      <c r="A759" s="598"/>
      <c r="B759" s="604"/>
      <c r="C759" s="599"/>
      <c r="D759" s="600"/>
      <c r="E759" s="601" t="s">
        <v>186</v>
      </c>
      <c r="F759" s="599"/>
      <c r="G759" s="602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20.25" hidden="1" customHeight="1">
      <c r="A760" s="648"/>
      <c r="B760" s="604"/>
      <c r="C760" s="599"/>
      <c r="D760" s="599"/>
      <c r="E760" s="599"/>
      <c r="F760" s="601" t="s">
        <v>187</v>
      </c>
      <c r="G760" s="602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20.25" hidden="1" customHeight="1">
      <c r="A761" s="648"/>
      <c r="B761" s="604"/>
      <c r="C761" s="599"/>
      <c r="D761" s="599"/>
      <c r="E761" s="599"/>
      <c r="F761" s="601" t="s">
        <v>188</v>
      </c>
      <c r="G761" s="602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20.25" hidden="1" customHeight="1">
      <c r="A762" s="648"/>
      <c r="B762" s="604"/>
      <c r="C762" s="599"/>
      <c r="D762" s="599"/>
      <c r="E762" s="599"/>
      <c r="F762" s="601" t="s">
        <v>189</v>
      </c>
      <c r="G762" s="602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20.25" hidden="1" customHeight="1">
      <c r="A763" s="648"/>
      <c r="B763" s="604"/>
      <c r="C763" s="599"/>
      <c r="D763" s="599"/>
      <c r="E763" s="599"/>
      <c r="F763" s="601" t="s">
        <v>190</v>
      </c>
      <c r="G763" s="602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20.25" hidden="1" customHeight="1">
      <c r="A764" s="598"/>
      <c r="B764" s="604"/>
      <c r="C764" s="599"/>
      <c r="D764" s="781" t="s">
        <v>21</v>
      </c>
      <c r="E764" s="599"/>
      <c r="F764" s="599"/>
      <c r="G764" s="602"/>
      <c r="H764" s="782" t="s">
        <v>12</v>
      </c>
      <c r="I764" s="166"/>
      <c r="J764" s="166"/>
      <c r="K764" s="167"/>
      <c r="L764" s="646">
        <f t="shared" ref="L764:N764" si="348">L765+L766</f>
        <v>0</v>
      </c>
      <c r="M764" s="646">
        <f t="shared" si="348"/>
        <v>0</v>
      </c>
      <c r="N764" s="646">
        <f t="shared" si="348"/>
        <v>0</v>
      </c>
      <c r="O764" s="646">
        <f t="shared" ref="O764:O766" si="349">IF(L764&gt;0,N764*100/L764,0)</f>
        <v>0</v>
      </c>
      <c r="P764" s="646">
        <f t="shared" ref="P764:P766" si="350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20.25" hidden="1" customHeight="1">
      <c r="A765" s="598"/>
      <c r="B765" s="604"/>
      <c r="C765" s="599"/>
      <c r="D765" s="599"/>
      <c r="E765" s="601" t="s">
        <v>18</v>
      </c>
      <c r="F765" s="599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20.25" hidden="1" customHeight="1">
      <c r="A766" s="598"/>
      <c r="B766" s="604"/>
      <c r="C766" s="599"/>
      <c r="D766" s="599"/>
      <c r="E766" s="601" t="s">
        <v>19</v>
      </c>
      <c r="F766" s="599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20.25" hidden="1" customHeight="1">
      <c r="A767" s="613"/>
      <c r="B767" s="614"/>
      <c r="C767" s="599" t="s">
        <v>16</v>
      </c>
      <c r="D767" s="7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20.25" hidden="1" customHeight="1">
      <c r="A768" s="648"/>
      <c r="B768" s="604"/>
      <c r="C768" s="599"/>
      <c r="D768" s="599"/>
      <c r="E768" s="601" t="s">
        <v>317</v>
      </c>
      <c r="F768" s="599"/>
      <c r="G768" s="602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20.25" hidden="1" customHeight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20.25" hidden="1" customHeight="1">
      <c r="A770" s="598"/>
      <c r="B770" s="599"/>
      <c r="C770" s="599" t="s">
        <v>16</v>
      </c>
      <c r="D770" s="849" t="s">
        <v>17</v>
      </c>
      <c r="E770" s="842"/>
      <c r="F770" s="842"/>
      <c r="G770" s="602"/>
      <c r="H770" s="645" t="s">
        <v>12</v>
      </c>
      <c r="I770" s="44"/>
      <c r="J770" s="44"/>
      <c r="K770" s="45"/>
      <c r="L770" s="646">
        <f t="shared" ref="L770:N770" si="351">L771+L772</f>
        <v>0</v>
      </c>
      <c r="M770" s="646">
        <f t="shared" si="351"/>
        <v>0</v>
      </c>
      <c r="N770" s="646">
        <f t="shared" si="351"/>
        <v>0</v>
      </c>
      <c r="O770" s="646">
        <f t="shared" ref="O770:O775" si="352">IF(L770&gt;0,N770*100/L770,0)</f>
        <v>0</v>
      </c>
      <c r="P770" s="646">
        <f t="shared" ref="P770:P775" si="353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20.25" hidden="1" customHeight="1">
      <c r="A771" s="598"/>
      <c r="B771" s="599"/>
      <c r="C771" s="599"/>
      <c r="D771" s="600"/>
      <c r="E771" s="601" t="s">
        <v>185</v>
      </c>
      <c r="F771" s="599"/>
      <c r="G771" s="602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20.25" hidden="1" customHeight="1">
      <c r="A772" s="598"/>
      <c r="B772" s="604"/>
      <c r="C772" s="599"/>
      <c r="D772" s="600"/>
      <c r="E772" s="601" t="s">
        <v>186</v>
      </c>
      <c r="F772" s="599"/>
      <c r="G772" s="602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20.25" hidden="1" customHeight="1">
      <c r="A773" s="598"/>
      <c r="B773" s="604"/>
      <c r="C773" s="599"/>
      <c r="D773" s="781" t="s">
        <v>20</v>
      </c>
      <c r="E773" s="599"/>
      <c r="F773" s="599"/>
      <c r="G773" s="602"/>
      <c r="H773" s="645" t="s">
        <v>12</v>
      </c>
      <c r="I773" s="166"/>
      <c r="J773" s="166"/>
      <c r="K773" s="167"/>
      <c r="L773" s="646">
        <f t="shared" ref="L773:N773" si="356">L774+L775</f>
        <v>0</v>
      </c>
      <c r="M773" s="646">
        <f t="shared" si="356"/>
        <v>0</v>
      </c>
      <c r="N773" s="646">
        <f t="shared" si="356"/>
        <v>0</v>
      </c>
      <c r="O773" s="646">
        <f t="shared" si="352"/>
        <v>0</v>
      </c>
      <c r="P773" s="646">
        <f t="shared" si="353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20.25" hidden="1" customHeight="1">
      <c r="A774" s="598"/>
      <c r="B774" s="604"/>
      <c r="C774" s="599"/>
      <c r="D774" s="600"/>
      <c r="E774" s="601" t="s">
        <v>185</v>
      </c>
      <c r="F774" s="599"/>
      <c r="G774" s="602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20.25" hidden="1" customHeight="1">
      <c r="A775" s="598"/>
      <c r="B775" s="604"/>
      <c r="C775" s="599"/>
      <c r="D775" s="600"/>
      <c r="E775" s="601" t="s">
        <v>186</v>
      </c>
      <c r="F775" s="599"/>
      <c r="G775" s="602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20.25" hidden="1" customHeight="1">
      <c r="A776" s="648"/>
      <c r="B776" s="604"/>
      <c r="C776" s="599"/>
      <c r="D776" s="599"/>
      <c r="E776" s="599"/>
      <c r="F776" s="601" t="s">
        <v>187</v>
      </c>
      <c r="G776" s="602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20.25" hidden="1" customHeight="1">
      <c r="A777" s="648"/>
      <c r="B777" s="604"/>
      <c r="C777" s="599"/>
      <c r="D777" s="599"/>
      <c r="E777" s="599"/>
      <c r="F777" s="601" t="s">
        <v>188</v>
      </c>
      <c r="G777" s="602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20.25" hidden="1" customHeight="1">
      <c r="A778" s="648"/>
      <c r="B778" s="604"/>
      <c r="C778" s="599"/>
      <c r="D778" s="599"/>
      <c r="E778" s="599"/>
      <c r="F778" s="601" t="s">
        <v>189</v>
      </c>
      <c r="G778" s="602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20.25" hidden="1" customHeight="1">
      <c r="A779" s="648"/>
      <c r="B779" s="604"/>
      <c r="C779" s="599"/>
      <c r="D779" s="599"/>
      <c r="E779" s="599"/>
      <c r="F779" s="601" t="s">
        <v>190</v>
      </c>
      <c r="G779" s="602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20.25" hidden="1" customHeight="1">
      <c r="A780" s="598"/>
      <c r="B780" s="604"/>
      <c r="C780" s="599"/>
      <c r="D780" s="781" t="s">
        <v>21</v>
      </c>
      <c r="E780" s="599"/>
      <c r="F780" s="599"/>
      <c r="G780" s="602"/>
      <c r="H780" s="782" t="s">
        <v>12</v>
      </c>
      <c r="I780" s="166"/>
      <c r="J780" s="166"/>
      <c r="K780" s="167"/>
      <c r="L780" s="646">
        <f t="shared" ref="L780:N780" si="357">L781+L782</f>
        <v>0</v>
      </c>
      <c r="M780" s="646">
        <f t="shared" si="357"/>
        <v>0</v>
      </c>
      <c r="N780" s="646">
        <f t="shared" si="357"/>
        <v>0</v>
      </c>
      <c r="O780" s="646">
        <f t="shared" ref="O780:O782" si="358">IF(L780&gt;0,N780*100/L780,0)</f>
        <v>0</v>
      </c>
      <c r="P780" s="646">
        <f t="shared" ref="P780:P782" si="359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20.25" hidden="1" customHeight="1">
      <c r="A781" s="598"/>
      <c r="B781" s="604"/>
      <c r="C781" s="599"/>
      <c r="D781" s="599"/>
      <c r="E781" s="601" t="s">
        <v>18</v>
      </c>
      <c r="F781" s="599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20.25" hidden="1" customHeight="1">
      <c r="A782" s="598"/>
      <c r="B782" s="604"/>
      <c r="C782" s="599"/>
      <c r="D782" s="599"/>
      <c r="E782" s="601" t="s">
        <v>19</v>
      </c>
      <c r="F782" s="599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20.25" hidden="1" customHeight="1">
      <c r="A783" s="613"/>
      <c r="B783" s="614"/>
      <c r="C783" s="599" t="s">
        <v>16</v>
      </c>
      <c r="D783" s="7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20.25" hidden="1" customHeight="1">
      <c r="A784" s="648"/>
      <c r="B784" s="604"/>
      <c r="C784" s="599"/>
      <c r="D784" s="599"/>
      <c r="E784" s="601" t="s">
        <v>319</v>
      </c>
      <c r="F784" s="599"/>
      <c r="G784" s="602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20.25" customHeight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60">I800</f>
        <v>0</v>
      </c>
      <c r="J785" s="807">
        <f t="shared" ca="1" si="360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20.25" customHeight="1">
      <c r="A786" s="596"/>
      <c r="B786" s="574"/>
      <c r="C786" s="575" t="s">
        <v>16</v>
      </c>
      <c r="D786" s="848" t="s">
        <v>17</v>
      </c>
      <c r="E786" s="842"/>
      <c r="F786" s="842"/>
      <c r="G786" s="189"/>
      <c r="H786" s="597" t="s">
        <v>12</v>
      </c>
      <c r="I786" s="37"/>
      <c r="J786" s="37"/>
      <c r="K786" s="38"/>
      <c r="L786" s="195">
        <f t="shared" ref="L786:N786" ca="1" si="361">L787+L788</f>
        <v>0</v>
      </c>
      <c r="M786" s="195">
        <f t="shared" si="361"/>
        <v>0</v>
      </c>
      <c r="N786" s="195">
        <f t="shared" ca="1" si="361"/>
        <v>0</v>
      </c>
      <c r="O786" s="195">
        <f t="shared" ref="O786:O791" ca="1" si="362">IF(L786&gt;0,N786*100/L786,0)</f>
        <v>0</v>
      </c>
      <c r="P786" s="195">
        <f t="shared" ref="P786:P791" si="363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20.25" hidden="1" customHeight="1">
      <c r="A787" s="598"/>
      <c r="B787" s="604"/>
      <c r="C787" s="599"/>
      <c r="D787" s="600"/>
      <c r="E787" s="601" t="s">
        <v>185</v>
      </c>
      <c r="F787" s="599"/>
      <c r="G787" s="602"/>
      <c r="H787" s="165" t="s">
        <v>12</v>
      </c>
      <c r="I787" s="44"/>
      <c r="J787" s="44"/>
      <c r="K787" s="45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20.25" hidden="1" customHeight="1">
      <c r="A788" s="598"/>
      <c r="B788" s="604"/>
      <c r="C788" s="604"/>
      <c r="D788" s="614"/>
      <c r="E788" s="601" t="s">
        <v>186</v>
      </c>
      <c r="F788" s="599"/>
      <c r="G788" s="602"/>
      <c r="H788" s="165" t="s">
        <v>12</v>
      </c>
      <c r="I788" s="44"/>
      <c r="J788" s="44"/>
      <c r="K788" s="45"/>
      <c r="L788" s="45">
        <f t="shared" ref="L788:N788" ca="1" si="365">L791+L798</f>
        <v>0</v>
      </c>
      <c r="M788" s="45">
        <f t="shared" si="365"/>
        <v>0</v>
      </c>
      <c r="N788" s="45">
        <f t="shared" ca="1" si="365"/>
        <v>0</v>
      </c>
      <c r="O788" s="45">
        <f t="shared" ca="1" si="362"/>
        <v>0</v>
      </c>
      <c r="P788" s="45">
        <f t="shared" si="363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20.25" customHeight="1">
      <c r="A789" s="596"/>
      <c r="B789" s="574"/>
      <c r="C789" s="574"/>
      <c r="D789" s="605" t="s">
        <v>20</v>
      </c>
      <c r="E789" s="575"/>
      <c r="F789" s="575"/>
      <c r="G789" s="189"/>
      <c r="H789" s="161" t="s">
        <v>12</v>
      </c>
      <c r="I789" s="162"/>
      <c r="J789" s="162"/>
      <c r="K789" s="163"/>
      <c r="L789" s="38">
        <f t="shared" ref="L789:N789" ca="1" si="366">L790+L791</f>
        <v>0</v>
      </c>
      <c r="M789" s="38">
        <f t="shared" si="366"/>
        <v>0</v>
      </c>
      <c r="N789" s="38">
        <f t="shared" ca="1" si="366"/>
        <v>0</v>
      </c>
      <c r="O789" s="38">
        <f t="shared" ca="1" si="362"/>
        <v>0</v>
      </c>
      <c r="P789" s="38">
        <f t="shared" si="363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20.25" hidden="1" customHeight="1">
      <c r="A790" s="598"/>
      <c r="B790" s="604"/>
      <c r="C790" s="604"/>
      <c r="D790" s="614"/>
      <c r="E790" s="601" t="s">
        <v>185</v>
      </c>
      <c r="F790" s="599"/>
      <c r="G790" s="602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20.25" hidden="1" customHeight="1">
      <c r="A791" s="598"/>
      <c r="B791" s="604"/>
      <c r="C791" s="604"/>
      <c r="D791" s="614"/>
      <c r="E791" s="601" t="s">
        <v>186</v>
      </c>
      <c r="F791" s="599"/>
      <c r="G791" s="602"/>
      <c r="H791" s="165" t="s">
        <v>12</v>
      </c>
      <c r="I791" s="44"/>
      <c r="J791" s="44"/>
      <c r="K791" s="45"/>
      <c r="L791" s="45">
        <f ca="1">IFERROR(__xludf.DUMMYFUNCTION("IMPORTRANGE(""https://docs.google.com/spreadsheets/d/1kC41EOXpGBFOW658Fs3oD8beYlym0-zO54WY-2Qnp9I/edit?usp=share_link"",""กระบี่!L791"")
+IMPORTRANGE(""https://docs.google.com/spreadsheets/d/1FbzMZY_f3MDiEuK7RpCQKrilJ_kpX0Wm7QBZ1L7EjIU/edit?usp=share_link"&amp;""",""ชุมพร!L791"")+IMPORTRANGE(""https://docs.google.com/spreadsheets/d/1v5sN-00LrXuhBxw4dkh2GrG_z4l5oAqOdJRBCsUyMaM/edit?usp=share_link"",""ตรัง!L791"")+IMPORTRANGE(""https://docs.google.com/spreadsheets/d/1T5rRTzFc79aSIvqnzkZNvwPstq829QYz_xALlO1Z0s8/edi"&amp;"t?usp=share_link"",""นครศรีธรรมราช!L791"")+IMPORTRANGE(""https://docs.google.com/spreadsheets/d/1BeghqumK0IvCmRd2QOy6_afsZq7ZtAGrSnVJy2u7WmY/edit?usp=share_link"",""นราธิวาส!L791"")+IMPORTRANGE(""https://docs.google.com/spreadsheets/d/1IwnW3-jjRf74MCLW-6P"&amp;"iFwMUffRQXZwZA7YM609NmRc/edit?usp=share_link"",""ปัตตานี!L791"")+IMPORTRANGE(""https://docs.google.com/spreadsheets/d/1vl4QWbWdFruual5o_wdo6ZSqXZ_it806oja4CctTLKs/edit?usp=share_link"",""พังงา!L791"")+IMPORTRANGE(""https://docs.google.com/spreadsheets/d/1"&amp;"b6QssHQp2FoAPSMKHOy273KNzAomaIKhtdlvuZ_zDNE/edit?usp=share_link"",""พัทลุง!L791"")+IMPORTRANGE(""https://docs.google.com/spreadsheets/d/1o7UZe4_OqlqtLDHrj01Z2YFRSZDf1DMy1n3XViHaxRc/edit?usp=share_link"",""ภูเก็ต!L791"")+IMPORTRANGE(""https://docs.google.c"&amp;"om/spreadsheets/d/1ctPm1vUzcUCPuOj9-eoHUD85PqINFqUB0TjdSWmR5-c/edit?usp=share_link"",""ยะลา!L791"")+IMPORTRANGE(""https://docs.google.com/spreadsheets/d/1YiDIE7Klmt8osgdapRqYWNr7iPGFSsiJqq46S7PYRE0/edit?usp=share_link"",""ระนอง!L791"")+IMPORTRANGE(""https"&amp;"://docs.google.com/spreadsheets/d/16o_4B-V7AWw_6E93bSpXj_XxVv1oVQctk-B6z1dNEWU/edit?usp=share_link"",""สงขลา!L791"")+IMPORTRANGE(""https://docs.google.com/spreadsheets/d/16cywr71Fj4fA5OGRHsZh30ZG2gwJhMAQv69oVBzYHv0/edit?usp=share_link"",""สตูล!L791"")+IMP"&amp;"ORTRANGE(""https://docs.google.com/spreadsheets/d/1vO9Sws6kMtrVtyvrAJptINXjK8TFBoX9xLYOVK_C8bQ/edit?usp=share_link"",""สุราษฎร์ธานี!L791"")"),0)</f>
        <v>0</v>
      </c>
      <c r="M791" s="93">
        <v>0</v>
      </c>
      <c r="N791" s="45">
        <f ca="1">N792+N793+N794+N795</f>
        <v>0</v>
      </c>
      <c r="O791" s="45">
        <f t="shared" ca="1" si="362"/>
        <v>0</v>
      </c>
      <c r="P791" s="45">
        <f t="shared" si="363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20.25" customHeight="1">
      <c r="A792" s="573"/>
      <c r="B792" s="574"/>
      <c r="C792" s="575"/>
      <c r="D792" s="575"/>
      <c r="E792" s="575"/>
      <c r="F792" s="576" t="s">
        <v>187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IFERROR(__xludf.DUMMYFUNCTION("IMPORTRANGE(""https://docs.google.com/spreadsheets/d/1kC41EOXpGBFOW658Fs3oD8beYlym0-zO54WY-2Qnp9I/edit?usp=share_link"",""กระบี่!N792"")
+IMPORTRANGE(""https://docs.google.com/spreadsheets/d/1FbzMZY_f3MDiEuK7RpCQKrilJ_kpX0Wm7QBZ1L7EjIU/edit?usp=share_link"&amp;""",""ชุมพร!N792"")+IMPORTRANGE(""https://docs.google.com/spreadsheets/d/1v5sN-00LrXuhBxw4dkh2GrG_z4l5oAqOdJRBCsUyMaM/edit?usp=share_link"",""ตรัง!N792"")+IMPORTRANGE(""https://docs.google.com/spreadsheets/d/1T5rRTzFc79aSIvqnzkZNvwPstq829QYz_xALlO1Z0s8/edi"&amp;"t?usp=share_link"",""นครศรีธรรมราช!N792"")+IMPORTRANGE(""https://docs.google.com/spreadsheets/d/1BeghqumK0IvCmRd2QOy6_afsZq7ZtAGrSnVJy2u7WmY/edit?usp=share_link"",""นราธิวาส!N792"")+IMPORTRANGE(""https://docs.google.com/spreadsheets/d/1IwnW3-jjRf74MCLW-6P"&amp;"iFwMUffRQXZwZA7YM609NmRc/edit?usp=share_link"",""ปัตตานี!N792"")+IMPORTRANGE(""https://docs.google.com/spreadsheets/d/1vl4QWbWdFruual5o_wdo6ZSqXZ_it806oja4CctTLKs/edit?usp=share_link"",""พังงา!N792"")+IMPORTRANGE(""https://docs.google.com/spreadsheets/d/1"&amp;"b6QssHQp2FoAPSMKHOy273KNzAomaIKhtdlvuZ_zDNE/edit?usp=share_link"",""พัทลุง!N792"")+IMPORTRANGE(""https://docs.google.com/spreadsheets/d/1o7UZe4_OqlqtLDHrj01Z2YFRSZDf1DMy1n3XViHaxRc/edit?usp=share_link"",""ภูเก็ต!N792"")+IMPORTRANGE(""https://docs.google.c"&amp;"om/spreadsheets/d/1ctPm1vUzcUCPuOj9-eoHUD85PqINFqUB0TjdSWmR5-c/edit?usp=share_link"",""ยะลา!N792"")+IMPORTRANGE(""https://docs.google.com/spreadsheets/d/1YiDIE7Klmt8osgdapRqYWNr7iPGFSsiJqq46S7PYRE0/edit?usp=share_link"",""ระนอง!N792"")+IMPORTRANGE(""https"&amp;"://docs.google.com/spreadsheets/d/16o_4B-V7AWw_6E93bSpXj_XxVv1oVQctk-B6z1dNEWU/edit?usp=share_link"",""สงขลา!N792"")+IMPORTRANGE(""https://docs.google.com/spreadsheets/d/16cywr71Fj4fA5OGRHsZh30ZG2gwJhMAQv69oVBzYHv0/edit?usp=share_link"",""สตูล!N792"")+IMP"&amp;"ORTRANGE(""https://docs.google.com/spreadsheets/d/1vO9Sws6kMtrVtyvrAJptINXjK8TFBoX9xLYOVK_C8bQ/edit?usp=share_link"",""สุราษฎร์ธานี!N792"")"),0)</f>
        <v>0</v>
      </c>
      <c r="O792" s="38"/>
      <c r="P792" s="3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20.25" customHeight="1">
      <c r="A793" s="573"/>
      <c r="B793" s="574"/>
      <c r="C793" s="575"/>
      <c r="D793" s="575"/>
      <c r="E793" s="575"/>
      <c r="F793" s="576" t="s">
        <v>188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IFERROR(__xludf.DUMMYFUNCTION("IMPORTRANGE(""https://docs.google.com/spreadsheets/d/1kC41EOXpGBFOW658Fs3oD8beYlym0-zO54WY-2Qnp9I/edit?usp=share_link"",""กระบี่!N793"")
+IMPORTRANGE(""https://docs.google.com/spreadsheets/d/1FbzMZY_f3MDiEuK7RpCQKrilJ_kpX0Wm7QBZ1L7EjIU/edit?usp=share_link"&amp;""",""ชุมพร!N793"")+IMPORTRANGE(""https://docs.google.com/spreadsheets/d/1v5sN-00LrXuhBxw4dkh2GrG_z4l5oAqOdJRBCsUyMaM/edit?usp=share_link"",""ตรัง!N793"")+IMPORTRANGE(""https://docs.google.com/spreadsheets/d/1T5rRTzFc79aSIvqnzkZNvwPstq829QYz_xALlO1Z0s8/edi"&amp;"t?usp=share_link"",""นครศรีธรรมราช!N793"")+IMPORTRANGE(""https://docs.google.com/spreadsheets/d/1BeghqumK0IvCmRd2QOy6_afsZq7ZtAGrSnVJy2u7WmY/edit?usp=share_link"",""นราธิวาส!N793"")+IMPORTRANGE(""https://docs.google.com/spreadsheets/d/1IwnW3-jjRf74MCLW-6P"&amp;"iFwMUffRQXZwZA7YM609NmRc/edit?usp=share_link"",""ปัตตานี!N793"")+IMPORTRANGE(""https://docs.google.com/spreadsheets/d/1vl4QWbWdFruual5o_wdo6ZSqXZ_it806oja4CctTLKs/edit?usp=share_link"",""พังงา!N793"")+IMPORTRANGE(""https://docs.google.com/spreadsheets/d/1"&amp;"b6QssHQp2FoAPSMKHOy273KNzAomaIKhtdlvuZ_zDNE/edit?usp=share_link"",""พัทลุง!N793"")+IMPORTRANGE(""https://docs.google.com/spreadsheets/d/1o7UZe4_OqlqtLDHrj01Z2YFRSZDf1DMy1n3XViHaxRc/edit?usp=share_link"",""ภูเก็ต!N793"")+IMPORTRANGE(""https://docs.google.c"&amp;"om/spreadsheets/d/1ctPm1vUzcUCPuOj9-eoHUD85PqINFqUB0TjdSWmR5-c/edit?usp=share_link"",""ยะลา!N793"")+IMPORTRANGE(""https://docs.google.com/spreadsheets/d/1YiDIE7Klmt8osgdapRqYWNr7iPGFSsiJqq46S7PYRE0/edit?usp=share_link"",""ระนอง!N793"")+IMPORTRANGE(""https"&amp;"://docs.google.com/spreadsheets/d/16o_4B-V7AWw_6E93bSpXj_XxVv1oVQctk-B6z1dNEWU/edit?usp=share_link"",""สงขลา!N793"")+IMPORTRANGE(""https://docs.google.com/spreadsheets/d/16cywr71Fj4fA5OGRHsZh30ZG2gwJhMAQv69oVBzYHv0/edit?usp=share_link"",""สตูล!N793"")+IMP"&amp;"ORTRANGE(""https://docs.google.com/spreadsheets/d/1vO9Sws6kMtrVtyvrAJptINXjK8TFBoX9xLYOVK_C8bQ/edit?usp=share_link"",""สุราษฎร์ธานี!N793"")"),0)</f>
        <v>0</v>
      </c>
      <c r="O793" s="38"/>
      <c r="P793" s="3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20.25" customHeight="1">
      <c r="A794" s="573"/>
      <c r="B794" s="574"/>
      <c r="C794" s="575"/>
      <c r="D794" s="575"/>
      <c r="E794" s="575"/>
      <c r="F794" s="576" t="s">
        <v>189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IFERROR(__xludf.DUMMYFUNCTION("IMPORTRANGE(""https://docs.google.com/spreadsheets/d/1kC41EOXpGBFOW658Fs3oD8beYlym0-zO54WY-2Qnp9I/edit?usp=share_link"",""กระบี่!N794"")
+IMPORTRANGE(""https://docs.google.com/spreadsheets/d/1FbzMZY_f3MDiEuK7RpCQKrilJ_kpX0Wm7QBZ1L7EjIU/edit?usp=share_link"&amp;""",""ชุมพร!N794"")+IMPORTRANGE(""https://docs.google.com/spreadsheets/d/1v5sN-00LrXuhBxw4dkh2GrG_z4l5oAqOdJRBCsUyMaM/edit?usp=share_link"",""ตรัง!N794"")+IMPORTRANGE(""https://docs.google.com/spreadsheets/d/1T5rRTzFc79aSIvqnzkZNvwPstq829QYz_xALlO1Z0s8/edi"&amp;"t?usp=share_link"",""นครศรีธรรมราช!N794"")+IMPORTRANGE(""https://docs.google.com/spreadsheets/d/1BeghqumK0IvCmRd2QOy6_afsZq7ZtAGrSnVJy2u7WmY/edit?usp=share_link"",""นราธิวาส!N794"")+IMPORTRANGE(""https://docs.google.com/spreadsheets/d/1IwnW3-jjRf74MCLW-6P"&amp;"iFwMUffRQXZwZA7YM609NmRc/edit?usp=share_link"",""ปัตตานี!N794"")+IMPORTRANGE(""https://docs.google.com/spreadsheets/d/1vl4QWbWdFruual5o_wdo6ZSqXZ_it806oja4CctTLKs/edit?usp=share_link"",""พังงา!N794"")+IMPORTRANGE(""https://docs.google.com/spreadsheets/d/1"&amp;"b6QssHQp2FoAPSMKHOy273KNzAomaIKhtdlvuZ_zDNE/edit?usp=share_link"",""พัทลุง!N794"")+IMPORTRANGE(""https://docs.google.com/spreadsheets/d/1o7UZe4_OqlqtLDHrj01Z2YFRSZDf1DMy1n3XViHaxRc/edit?usp=share_link"",""ภูเก็ต!N794"")+IMPORTRANGE(""https://docs.google.c"&amp;"om/spreadsheets/d/1ctPm1vUzcUCPuOj9-eoHUD85PqINFqUB0TjdSWmR5-c/edit?usp=share_link"",""ยะลา!N794"")+IMPORTRANGE(""https://docs.google.com/spreadsheets/d/1YiDIE7Klmt8osgdapRqYWNr7iPGFSsiJqq46S7PYRE0/edit?usp=share_link"",""ระนอง!N794"")+IMPORTRANGE(""https"&amp;"://docs.google.com/spreadsheets/d/16o_4B-V7AWw_6E93bSpXj_XxVv1oVQctk-B6z1dNEWU/edit?usp=share_link"",""สงขลา!N794"")+IMPORTRANGE(""https://docs.google.com/spreadsheets/d/16cywr71Fj4fA5OGRHsZh30ZG2gwJhMAQv69oVBzYHv0/edit?usp=share_link"",""สตูล!N794"")+IMP"&amp;"ORTRANGE(""https://docs.google.com/spreadsheets/d/1vO9Sws6kMtrVtyvrAJptINXjK8TFBoX9xLYOVK_C8bQ/edit?usp=share_link"",""สุราษฎร์ธานี!N794"")"),0)</f>
        <v>0</v>
      </c>
      <c r="O794" s="38"/>
      <c r="P794" s="3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20.25" customHeight="1">
      <c r="A795" s="573"/>
      <c r="B795" s="574"/>
      <c r="C795" s="575"/>
      <c r="D795" s="575"/>
      <c r="E795" s="575"/>
      <c r="F795" s="576" t="s">
        <v>190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IFERROR(__xludf.DUMMYFUNCTION("IMPORTRANGE(""https://docs.google.com/spreadsheets/d/1kC41EOXpGBFOW658Fs3oD8beYlym0-zO54WY-2Qnp9I/edit?usp=share_link"",""กระบี่!N795"")
+IMPORTRANGE(""https://docs.google.com/spreadsheets/d/1FbzMZY_f3MDiEuK7RpCQKrilJ_kpX0Wm7QBZ1L7EjIU/edit?usp=share_link"&amp;""",""ชุมพร!N795"")+IMPORTRANGE(""https://docs.google.com/spreadsheets/d/1v5sN-00LrXuhBxw4dkh2GrG_z4l5oAqOdJRBCsUyMaM/edit?usp=share_link"",""ตรัง!N795"")+IMPORTRANGE(""https://docs.google.com/spreadsheets/d/1T5rRTzFc79aSIvqnzkZNvwPstq829QYz_xALlO1Z0s8/edi"&amp;"t?usp=share_link"",""นครศรีธรรมราช!N795"")+IMPORTRANGE(""https://docs.google.com/spreadsheets/d/1BeghqumK0IvCmRd2QOy6_afsZq7ZtAGrSnVJy2u7WmY/edit?usp=share_link"",""นราธิวาส!N795"")+IMPORTRANGE(""https://docs.google.com/spreadsheets/d/1IwnW3-jjRf74MCLW-6P"&amp;"iFwMUffRQXZwZA7YM609NmRc/edit?usp=share_link"",""ปัตตานี!N795"")+IMPORTRANGE(""https://docs.google.com/spreadsheets/d/1vl4QWbWdFruual5o_wdo6ZSqXZ_it806oja4CctTLKs/edit?usp=share_link"",""พังงา!N795"")+IMPORTRANGE(""https://docs.google.com/spreadsheets/d/1"&amp;"b6QssHQp2FoAPSMKHOy273KNzAomaIKhtdlvuZ_zDNE/edit?usp=share_link"",""พัทลุง!N795"")+IMPORTRANGE(""https://docs.google.com/spreadsheets/d/1o7UZe4_OqlqtLDHrj01Z2YFRSZDf1DMy1n3XViHaxRc/edit?usp=share_link"",""ภูเก็ต!N795"")+IMPORTRANGE(""https://docs.google.c"&amp;"om/spreadsheets/d/1ctPm1vUzcUCPuOj9-eoHUD85PqINFqUB0TjdSWmR5-c/edit?usp=share_link"",""ยะลา!N795"")+IMPORTRANGE(""https://docs.google.com/spreadsheets/d/1YiDIE7Klmt8osgdapRqYWNr7iPGFSsiJqq46S7PYRE0/edit?usp=share_link"",""ระนอง!N795"")+IMPORTRANGE(""https"&amp;"://docs.google.com/spreadsheets/d/16o_4B-V7AWw_6E93bSpXj_XxVv1oVQctk-B6z1dNEWU/edit?usp=share_link"",""สงขลา!N795"")+IMPORTRANGE(""https://docs.google.com/spreadsheets/d/16cywr71Fj4fA5OGRHsZh30ZG2gwJhMAQv69oVBzYHv0/edit?usp=share_link"",""สตูล!N795"")+IMP"&amp;"ORTRANGE(""https://docs.google.com/spreadsheets/d/1vO9Sws6kMtrVtyvrAJptINXjK8TFBoX9xLYOVK_C8bQ/edit?usp=share_link"",""สุราษฎร์ธานี!N795"")"),0)</f>
        <v>0</v>
      </c>
      <c r="O795" s="38"/>
      <c r="P795" s="3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20.25" customHeight="1">
      <c r="A796" s="596"/>
      <c r="B796" s="574"/>
      <c r="C796" s="575"/>
      <c r="D796" s="605" t="s">
        <v>21</v>
      </c>
      <c r="E796" s="575"/>
      <c r="F796" s="575"/>
      <c r="G796" s="189"/>
      <c r="H796" s="168" t="s">
        <v>12</v>
      </c>
      <c r="I796" s="162"/>
      <c r="J796" s="162"/>
      <c r="K796" s="163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20.25" hidden="1" customHeight="1">
      <c r="A797" s="598"/>
      <c r="B797" s="604"/>
      <c r="C797" s="599"/>
      <c r="D797" s="599"/>
      <c r="E797" s="601" t="s">
        <v>18</v>
      </c>
      <c r="F797" s="599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20.25" hidden="1" customHeight="1">
      <c r="A798" s="598"/>
      <c r="B798" s="604"/>
      <c r="C798" s="599"/>
      <c r="D798" s="599"/>
      <c r="E798" s="601" t="s">
        <v>19</v>
      </c>
      <c r="F798" s="599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20.25" customHeight="1">
      <c r="A799" s="607"/>
      <c r="B799" s="608"/>
      <c r="C799" s="575" t="s">
        <v>16</v>
      </c>
      <c r="D799" s="759" t="s">
        <v>38</v>
      </c>
      <c r="E799" s="611"/>
      <c r="F799" s="611"/>
      <c r="G799" s="612"/>
      <c r="H799" s="810"/>
      <c r="I799" s="162"/>
      <c r="J799" s="162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20.25" customHeight="1">
      <c r="A800" s="607"/>
      <c r="B800" s="608"/>
      <c r="C800" s="608"/>
      <c r="D800" s="608"/>
      <c r="E800" s="618"/>
      <c r="F800" s="187" t="s">
        <v>321</v>
      </c>
      <c r="G800" s="175"/>
      <c r="H800" s="185" t="s">
        <v>46</v>
      </c>
      <c r="I800" s="162">
        <f ca="1">IFERROR(__xludf.DUMMYFUNCTION("IMPORTRANGE(""https://docs.google.com/spreadsheets/d/1kC41EOXpGBFOW658Fs3oD8beYlym0-zO54WY-2Qnp9I/edit?usp=share_link"",""กระบี่!I800"")
+IMPORTRANGE(""https://docs.google.com/spreadsheets/d/1FbzMZY_f3MDiEuK7RpCQKrilJ_kpX0Wm7QBZ1L7EjIU/edit?usp=share_link"&amp;""",""ชุมพร!I800"")+IMPORTRANGE(""https://docs.google.com/spreadsheets/d/1v5sN-00LrXuhBxw4dkh2GrG_z4l5oAqOdJRBCsUyMaM/edit?usp=share_link"",""ตรัง!I800"")+IMPORTRANGE(""https://docs.google.com/spreadsheets/d/1T5rRTzFc79aSIvqnzkZNvwPstq829QYz_xALlO1Z0s8/edi"&amp;"t?usp=share_link"",""นครศรีธรรมราช!I800"")+IMPORTRANGE(""https://docs.google.com/spreadsheets/d/1BeghqumK0IvCmRd2QOy6_afsZq7ZtAGrSnVJy2u7WmY/edit?usp=share_link"",""นราธิวาส!I800"")+IMPORTRANGE(""https://docs.google.com/spreadsheets/d/1IwnW3-jjRf74MCLW-6P"&amp;"iFwMUffRQXZwZA7YM609NmRc/edit?usp=share_link"",""ปัตตานี!I800"")+IMPORTRANGE(""https://docs.google.com/spreadsheets/d/1vl4QWbWdFruual5o_wdo6ZSqXZ_it806oja4CctTLKs/edit?usp=share_link"",""พังงา!I800"")+IMPORTRANGE(""https://docs.google.com/spreadsheets/d/1"&amp;"b6QssHQp2FoAPSMKHOy273KNzAomaIKhtdlvuZ_zDNE/edit?usp=share_link"",""พัทลุง!I800"")+IMPORTRANGE(""https://docs.google.com/spreadsheets/d/1o7UZe4_OqlqtLDHrj01Z2YFRSZDf1DMy1n3XViHaxRc/edit?usp=share_link"",""ภูเก็ต!I800"")+IMPORTRANGE(""https://docs.google.c"&amp;"om/spreadsheets/d/1ctPm1vUzcUCPuOj9-eoHUD85PqINFqUB0TjdSWmR5-c/edit?usp=share_link"",""ยะลา!I800"")+IMPORTRANGE(""https://docs.google.com/spreadsheets/d/1YiDIE7Klmt8osgdapRqYWNr7iPGFSsiJqq46S7PYRE0/edit?usp=share_link"",""ระนอง!I800"")+IMPORTRANGE(""https"&amp;"://docs.google.com/spreadsheets/d/16o_4B-V7AWw_6E93bSpXj_XxVv1oVQctk-B6z1dNEWU/edit?usp=share_link"",""สงขลา!I800"")+IMPORTRANGE(""https://docs.google.com/spreadsheets/d/16cywr71Fj4fA5OGRHsZh30ZG2gwJhMAQv69oVBzYHv0/edit?usp=share_link"",""สตูล!I800"")+IMP"&amp;"ORTRANGE(""https://docs.google.com/spreadsheets/d/1vO9Sws6kMtrVtyvrAJptINXjK8TFBoX9xLYOVK_C8bQ/edit?usp=share_link"",""สุราษฎร์ธานี!I800"")"),0)</f>
        <v>0</v>
      </c>
      <c r="J800" s="184">
        <f ca="1">IFERROR(__xludf.DUMMYFUNCTION("IMPORTRANGE(""https://docs.google.com/spreadsheets/d/1kC41EOXpGBFOW658Fs3oD8beYlym0-zO54WY-2Qnp9I/edit?usp=share_link"",""กระบี่!J800"")
+IMPORTRANGE(""https://docs.google.com/spreadsheets/d/1FbzMZY_f3MDiEuK7RpCQKrilJ_kpX0Wm7QBZ1L7EjIU/edit?usp=share_link"&amp;""",""ชุมพร!J800"")+IMPORTRANGE(""https://docs.google.com/spreadsheets/d/1v5sN-00LrXuhBxw4dkh2GrG_z4l5oAqOdJRBCsUyMaM/edit?usp=share_link"",""ตรัง!J800"")+IMPORTRANGE(""https://docs.google.com/spreadsheets/d/1T5rRTzFc79aSIvqnzkZNvwPstq829QYz_xALlO1Z0s8/edi"&amp;"t?usp=share_link"",""นครศรีธรรมราช!J800"")+IMPORTRANGE(""https://docs.google.com/spreadsheets/d/1BeghqumK0IvCmRd2QOy6_afsZq7ZtAGrSnVJy2u7WmY/edit?usp=share_link"",""นราธิวาส!J800"")+IMPORTRANGE(""https://docs.google.com/spreadsheets/d/1IwnW3-jjRf74MCLW-6P"&amp;"iFwMUffRQXZwZA7YM609NmRc/edit?usp=share_link"",""ปัตตานี!J800"")+IMPORTRANGE(""https://docs.google.com/spreadsheets/d/1vl4QWbWdFruual5o_wdo6ZSqXZ_it806oja4CctTLKs/edit?usp=share_link"",""พังงา!J800"")+IMPORTRANGE(""https://docs.google.com/spreadsheets/d/1"&amp;"b6QssHQp2FoAPSMKHOy273KNzAomaIKhtdlvuZ_zDNE/edit?usp=share_link"",""พัทลุง!J800"")+IMPORTRANGE(""https://docs.google.com/spreadsheets/d/1o7UZe4_OqlqtLDHrj01Z2YFRSZDf1DMy1n3XViHaxRc/edit?usp=share_link"",""ภูเก็ต!J800"")+IMPORTRANGE(""https://docs.google.c"&amp;"om/spreadsheets/d/1ctPm1vUzcUCPuOj9-eoHUD85PqINFqUB0TjdSWmR5-c/edit?usp=share_link"",""ยะลา!J800"")+IMPORTRANGE(""https://docs.google.com/spreadsheets/d/1YiDIE7Klmt8osgdapRqYWNr7iPGFSsiJqq46S7PYRE0/edit?usp=share_link"",""ระนอง!J800"")+IMPORTRANGE(""https"&amp;"://docs.google.com/spreadsheets/d/16o_4B-V7AWw_6E93bSpXj_XxVv1oVQctk-B6z1dNEWU/edit?usp=share_link"",""สงขลา!J800"")+IMPORTRANGE(""https://docs.google.com/spreadsheets/d/16cywr71Fj4fA5OGRHsZh30ZG2gwJhMAQv69oVBzYHv0/edit?usp=share_link"",""สตูล!J800"")+IMP"&amp;"ORTRANGE(""https://docs.google.com/spreadsheets/d/1vO9Sws6kMtrVtyvrAJptINXjK8TFBoX9xLYOVK_C8bQ/edit?usp=share_link"",""สุราษฎร์ธานี!J800"")"),0)</f>
        <v>0</v>
      </c>
      <c r="K800" s="38">
        <f ca="1">IF(I800&gt;0,J800*100/I800,0)</f>
        <v>0</v>
      </c>
      <c r="L800" s="38"/>
      <c r="M800" s="38"/>
      <c r="N800" s="3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20.25" customHeight="1">
      <c r="A801" s="607"/>
      <c r="B801" s="608"/>
      <c r="C801" s="608"/>
      <c r="D801" s="608"/>
      <c r="E801" s="618"/>
      <c r="F801" s="618"/>
      <c r="G801" s="175"/>
      <c r="H801" s="161" t="s">
        <v>34</v>
      </c>
      <c r="I801" s="162"/>
      <c r="J801" s="37">
        <f ca="1">IFERROR(__xludf.DUMMYFUNCTION("IMPORTRANGE(""https://docs.google.com/spreadsheets/d/1kC41EOXpGBFOW658Fs3oD8beYlym0-zO54WY-2Qnp9I/edit?usp=share_link"",""กระบี่!J801"")
+IMPORTRANGE(""https://docs.google.com/spreadsheets/d/1FbzMZY_f3MDiEuK7RpCQKrilJ_kpX0Wm7QBZ1L7EjIU/edit?usp=share_link"&amp;""",""ชุมพร!J801"")+IMPORTRANGE(""https://docs.google.com/spreadsheets/d/1v5sN-00LrXuhBxw4dkh2GrG_z4l5oAqOdJRBCsUyMaM/edit?usp=share_link"",""ตรัง!J801"")+IMPORTRANGE(""https://docs.google.com/spreadsheets/d/1T5rRTzFc79aSIvqnzkZNvwPstq829QYz_xALlO1Z0s8/edi"&amp;"t?usp=share_link"",""นครศรีธรรมราช!J801"")+IMPORTRANGE(""https://docs.google.com/spreadsheets/d/1BeghqumK0IvCmRd2QOy6_afsZq7ZtAGrSnVJy2u7WmY/edit?usp=share_link"",""นราธิวาส!J801"")+IMPORTRANGE(""https://docs.google.com/spreadsheets/d/1IwnW3-jjRf74MCLW-6P"&amp;"iFwMUffRQXZwZA7YM609NmRc/edit?usp=share_link"",""ปัตตานี!J801"")+IMPORTRANGE(""https://docs.google.com/spreadsheets/d/1vl4QWbWdFruual5o_wdo6ZSqXZ_it806oja4CctTLKs/edit?usp=share_link"",""พังงา!J801"")+IMPORTRANGE(""https://docs.google.com/spreadsheets/d/1"&amp;"b6QssHQp2FoAPSMKHOy273KNzAomaIKhtdlvuZ_zDNE/edit?usp=share_link"",""พัทลุง!J801"")+IMPORTRANGE(""https://docs.google.com/spreadsheets/d/1o7UZe4_OqlqtLDHrj01Z2YFRSZDf1DMy1n3XViHaxRc/edit?usp=share_link"",""ภูเก็ต!J801"")+IMPORTRANGE(""https://docs.google.c"&amp;"om/spreadsheets/d/1ctPm1vUzcUCPuOj9-eoHUD85PqINFqUB0TjdSWmR5-c/edit?usp=share_link"",""ยะลา!J801"")+IMPORTRANGE(""https://docs.google.com/spreadsheets/d/1YiDIE7Klmt8osgdapRqYWNr7iPGFSsiJqq46S7PYRE0/edit?usp=share_link"",""ระนอง!J801"")+IMPORTRANGE(""https"&amp;"://docs.google.com/spreadsheets/d/16o_4B-V7AWw_6E93bSpXj_XxVv1oVQctk-B6z1dNEWU/edit?usp=share_link"",""สงขลา!J801"")+IMPORTRANGE(""https://docs.google.com/spreadsheets/d/16cywr71Fj4fA5OGRHsZh30ZG2gwJhMAQv69oVBzYHv0/edit?usp=share_link"",""สตูล!J801"")+IMP"&amp;"ORTRANGE(""https://docs.google.com/spreadsheets/d/1vO9Sws6kMtrVtyvrAJptINXjK8TFBoX9xLYOVK_C8bQ/edit?usp=share_link"",""สุราษฎร์ธานี!J801"")"),0)</f>
        <v>0</v>
      </c>
      <c r="K801" s="38"/>
      <c r="L801" s="38"/>
      <c r="M801" s="38"/>
      <c r="N801" s="3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20.25" hidden="1" customHeight="1">
      <c r="A802" s="613"/>
      <c r="B802" s="614"/>
      <c r="C802" s="614"/>
      <c r="D802" s="614"/>
      <c r="E802" s="600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20.25" hidden="1" customHeight="1">
      <c r="A803" s="613"/>
      <c r="B803" s="614"/>
      <c r="C803" s="614"/>
      <c r="D803" s="614"/>
      <c r="E803" s="600"/>
      <c r="F803" s="600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20.25" hidden="1" customHeight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20.25" hidden="1" customHeight="1">
      <c r="A805" s="598"/>
      <c r="B805" s="599"/>
      <c r="C805" s="599" t="s">
        <v>16</v>
      </c>
      <c r="D805" s="849" t="s">
        <v>17</v>
      </c>
      <c r="E805" s="842"/>
      <c r="F805" s="842"/>
      <c r="G805" s="602"/>
      <c r="H805" s="645" t="s">
        <v>12</v>
      </c>
      <c r="I805" s="44"/>
      <c r="J805" s="44"/>
      <c r="K805" s="45"/>
      <c r="L805" s="646">
        <f t="shared" ref="L805:N805" si="370">L806+L807</f>
        <v>0</v>
      </c>
      <c r="M805" s="646">
        <f t="shared" si="370"/>
        <v>0</v>
      </c>
      <c r="N805" s="646">
        <f t="shared" si="370"/>
        <v>0</v>
      </c>
      <c r="O805" s="646">
        <f t="shared" ref="O805:O810" si="371">IF(L805&gt;0,N805*100/L805,0)</f>
        <v>0</v>
      </c>
      <c r="P805" s="646">
        <f t="shared" ref="P805:P810" si="372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20.25" hidden="1" customHeight="1">
      <c r="A806" s="598"/>
      <c r="B806" s="599"/>
      <c r="C806" s="599"/>
      <c r="D806" s="614"/>
      <c r="E806" s="601" t="s">
        <v>185</v>
      </c>
      <c r="F806" s="599"/>
      <c r="G806" s="602"/>
      <c r="H806" s="165" t="s">
        <v>12</v>
      </c>
      <c r="I806" s="44"/>
      <c r="J806" s="44"/>
      <c r="K806" s="45"/>
      <c r="L806" s="45">
        <f t="shared" ref="L806:N806" si="373">L809+L816</f>
        <v>0</v>
      </c>
      <c r="M806" s="45">
        <f t="shared" si="373"/>
        <v>0</v>
      </c>
      <c r="N806" s="45">
        <f t="shared" si="373"/>
        <v>0</v>
      </c>
      <c r="O806" s="45">
        <f t="shared" si="371"/>
        <v>0</v>
      </c>
      <c r="P806" s="45">
        <f t="shared" si="372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20.25" hidden="1" customHeight="1">
      <c r="A807" s="598"/>
      <c r="B807" s="599"/>
      <c r="C807" s="599"/>
      <c r="D807" s="614"/>
      <c r="E807" s="601" t="s">
        <v>186</v>
      </c>
      <c r="F807" s="599"/>
      <c r="G807" s="602"/>
      <c r="H807" s="165" t="s">
        <v>12</v>
      </c>
      <c r="I807" s="44"/>
      <c r="J807" s="44"/>
      <c r="K807" s="45"/>
      <c r="L807" s="45">
        <f t="shared" ref="L807:N807" si="374">L810+L817</f>
        <v>0</v>
      </c>
      <c r="M807" s="45">
        <f t="shared" si="374"/>
        <v>0</v>
      </c>
      <c r="N807" s="45">
        <f t="shared" si="374"/>
        <v>0</v>
      </c>
      <c r="O807" s="45">
        <f t="shared" si="371"/>
        <v>0</v>
      </c>
      <c r="P807" s="45">
        <f t="shared" si="372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20.25" hidden="1" customHeight="1">
      <c r="A808" s="598"/>
      <c r="B808" s="604"/>
      <c r="C808" s="599"/>
      <c r="D808" s="851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75">L809+L810</f>
        <v>0</v>
      </c>
      <c r="M808" s="646">
        <f t="shared" si="375"/>
        <v>0</v>
      </c>
      <c r="N808" s="646">
        <f t="shared" si="375"/>
        <v>0</v>
      </c>
      <c r="O808" s="646">
        <f t="shared" si="371"/>
        <v>0</v>
      </c>
      <c r="P808" s="646">
        <f t="shared" si="372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20.25" hidden="1" customHeight="1">
      <c r="A809" s="598"/>
      <c r="B809" s="599"/>
      <c r="C809" s="599"/>
      <c r="D809" s="614"/>
      <c r="E809" s="601" t="s">
        <v>185</v>
      </c>
      <c r="F809" s="599"/>
      <c r="G809" s="602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1"/>
        <v>0</v>
      </c>
      <c r="P809" s="45">
        <f t="shared" si="372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20.25" hidden="1" customHeight="1">
      <c r="A810" s="598"/>
      <c r="B810" s="599"/>
      <c r="C810" s="599"/>
      <c r="D810" s="614"/>
      <c r="E810" s="601" t="s">
        <v>186</v>
      </c>
      <c r="F810" s="599"/>
      <c r="G810" s="602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1"/>
        <v>0</v>
      </c>
      <c r="P810" s="45">
        <f t="shared" si="372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20.25" hidden="1" customHeight="1">
      <c r="A811" s="648"/>
      <c r="B811" s="604"/>
      <c r="C811" s="599"/>
      <c r="D811" s="604"/>
      <c r="E811" s="599"/>
      <c r="F811" s="601" t="s">
        <v>187</v>
      </c>
      <c r="G811" s="602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20.25" hidden="1" customHeight="1">
      <c r="A812" s="648"/>
      <c r="B812" s="604"/>
      <c r="C812" s="599"/>
      <c r="D812" s="604"/>
      <c r="E812" s="599"/>
      <c r="F812" s="601" t="s">
        <v>188</v>
      </c>
      <c r="G812" s="602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20.25" hidden="1" customHeight="1">
      <c r="A813" s="648"/>
      <c r="B813" s="604"/>
      <c r="C813" s="599"/>
      <c r="D813" s="604"/>
      <c r="E813" s="599"/>
      <c r="F813" s="601" t="s">
        <v>189</v>
      </c>
      <c r="G813" s="602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20.25" hidden="1" customHeight="1">
      <c r="A814" s="648"/>
      <c r="B814" s="604"/>
      <c r="C814" s="599"/>
      <c r="D814" s="604"/>
      <c r="E814" s="599"/>
      <c r="F814" s="601" t="s">
        <v>190</v>
      </c>
      <c r="G814" s="602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20.25" hidden="1" customHeight="1">
      <c r="A815" s="598"/>
      <c r="B815" s="604"/>
      <c r="C815" s="599"/>
      <c r="D815" s="851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76">L816+L817</f>
        <v>0</v>
      </c>
      <c r="M815" s="646">
        <f t="shared" si="376"/>
        <v>0</v>
      </c>
      <c r="N815" s="646">
        <f t="shared" si="376"/>
        <v>0</v>
      </c>
      <c r="O815" s="646">
        <f t="shared" ref="O815:O817" si="377">IF(L815&gt;0,N815*100/L815,0)</f>
        <v>0</v>
      </c>
      <c r="P815" s="646">
        <f t="shared" ref="P815:P817" si="378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20.25" hidden="1" customHeight="1">
      <c r="A816" s="598"/>
      <c r="B816" s="604"/>
      <c r="C816" s="599"/>
      <c r="D816" s="604"/>
      <c r="E816" s="601" t="s">
        <v>18</v>
      </c>
      <c r="F816" s="599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7"/>
        <v>0</v>
      </c>
      <c r="P816" s="45">
        <f t="shared" si="378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20.25" hidden="1" customHeight="1">
      <c r="A817" s="598"/>
      <c r="B817" s="604"/>
      <c r="C817" s="599"/>
      <c r="D817" s="604"/>
      <c r="E817" s="601" t="s">
        <v>19</v>
      </c>
      <c r="F817" s="599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7"/>
        <v>0</v>
      </c>
      <c r="P817" s="45">
        <f t="shared" si="378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20.25" hidden="1" customHeight="1">
      <c r="A818" s="613"/>
      <c r="B818" s="614"/>
      <c r="C818" s="599" t="s">
        <v>16</v>
      </c>
      <c r="D818" s="812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20.25" hidden="1" customHeight="1">
      <c r="A819" s="813"/>
      <c r="B819" s="814"/>
      <c r="C819" s="815"/>
      <c r="D819" s="814"/>
      <c r="E819" s="816" t="s">
        <v>324</v>
      </c>
      <c r="F819" s="815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20.25" customHeight="1">
      <c r="A820" s="821" t="s">
        <v>325</v>
      </c>
      <c r="B820" s="822"/>
      <c r="C820" s="822"/>
      <c r="D820" s="823"/>
      <c r="E820" s="822"/>
      <c r="F820" s="822"/>
      <c r="G820" s="824"/>
      <c r="H820" s="825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215"/>
      <c r="J820" s="215"/>
      <c r="K820" s="826"/>
      <c r="L820" s="826"/>
      <c r="M820" s="826"/>
      <c r="N820" s="826"/>
      <c r="O820" s="826"/>
      <c r="P820" s="826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20.25" customHeight="1">
      <c r="A821" s="743"/>
      <c r="B821" s="576" t="s">
        <v>326</v>
      </c>
      <c r="C821" s="575"/>
      <c r="D821" s="574"/>
      <c r="E821" s="575"/>
      <c r="F821" s="575"/>
      <c r="G821" s="189"/>
      <c r="H821" s="36" t="s">
        <v>12</v>
      </c>
      <c r="I821" s="37">
        <f ca="1">IFERROR(__xludf.DUMMYFUNCTION("IMPORTRANGE(""https://docs.google.com/spreadsheets/d/1kC41EOXpGBFOW658Fs3oD8beYlym0-zO54WY-2Qnp9I/edit?usp=share_link"",""กระบี่!I821"")
+IMPORTRANGE(""https://docs.google.com/spreadsheets/d/1FbzMZY_f3MDiEuK7RpCQKrilJ_kpX0Wm7QBZ1L7EjIU/edit?usp=share_link"&amp;""",""ชุมพร!I821"")+IMPORTRANGE(""https://docs.google.com/spreadsheets/d/1v5sN-00LrXuhBxw4dkh2GrG_z4l5oAqOdJRBCsUyMaM/edit?usp=share_link"",""ตรัง!I821"")+IMPORTRANGE(""https://docs.google.com/spreadsheets/d/1T5rRTzFc79aSIvqnzkZNvwPstq829QYz_xALlO1Z0s8/edi"&amp;"t?usp=share_link"",""นครศรีธรรมราช!I821"")+IMPORTRANGE(""https://docs.google.com/spreadsheets/d/1BeghqumK0IvCmRd2QOy6_afsZq7ZtAGrSnVJy2u7WmY/edit?usp=share_link"",""นราธิวาส!I821"")+IMPORTRANGE(""https://docs.google.com/spreadsheets/d/1IwnW3-jjRf74MCLW-6P"&amp;"iFwMUffRQXZwZA7YM609NmRc/edit?usp=share_link"",""ปัตตานี!I821"")+IMPORTRANGE(""https://docs.google.com/spreadsheets/d/1vl4QWbWdFruual5o_wdo6ZSqXZ_it806oja4CctTLKs/edit?usp=share_link"",""พังงา!I821"")+IMPORTRANGE(""https://docs.google.com/spreadsheets/d/1"&amp;"b6QssHQp2FoAPSMKHOy273KNzAomaIKhtdlvuZ_zDNE/edit?usp=share_link"",""พัทลุง!I821"")+IMPORTRANGE(""https://docs.google.com/spreadsheets/d/1o7UZe4_OqlqtLDHrj01Z2YFRSZDf1DMy1n3XViHaxRc/edit?usp=share_link"",""ภูเก็ต!I821"")+IMPORTRANGE(""https://docs.google.c"&amp;"om/spreadsheets/d/1ctPm1vUzcUCPuOj9-eoHUD85PqINFqUB0TjdSWmR5-c/edit?usp=share_link"",""ยะลา!I821"")+IMPORTRANGE(""https://docs.google.com/spreadsheets/d/1YiDIE7Klmt8osgdapRqYWNr7iPGFSsiJqq46S7PYRE0/edit?usp=share_link"",""ระนอง!I821"")+IMPORTRANGE(""https"&amp;"://docs.google.com/spreadsheets/d/16o_4B-V7AWw_6E93bSpXj_XxVv1oVQctk-B6z1dNEWU/edit?usp=share_link"",""สงขลา!I821"")+IMPORTRANGE(""https://docs.google.com/spreadsheets/d/16cywr71Fj4fA5OGRHsZh30ZG2gwJhMAQv69oVBzYHv0/edit?usp=share_link"",""สตูล!I821"")+IMP"&amp;"ORTRANGE(""https://docs.google.com/spreadsheets/d/1vO9Sws6kMtrVtyvrAJptINXjK8TFBoX9xLYOVK_C8bQ/edit?usp=share_link"",""สุราษฎร์ธานี!I821"")"),20134601.86)</f>
        <v>20134601.859999999</v>
      </c>
      <c r="J821" s="37">
        <f ca="1">IFERROR(__xludf.DUMMYFUNCTION("IMPORTRANGE(""https://docs.google.com/spreadsheets/d/1kC41EOXpGBFOW658Fs3oD8beYlym0-zO54WY-2Qnp9I/edit?usp=share_link"",""กระบี่!J821"")
+IMPORTRANGE(""https://docs.google.com/spreadsheets/d/1FbzMZY_f3MDiEuK7RpCQKrilJ_kpX0Wm7QBZ1L7EjIU/edit?usp=share_link"&amp;""",""ชุมพร!J821"")+IMPORTRANGE(""https://docs.google.com/spreadsheets/d/1v5sN-00LrXuhBxw4dkh2GrG_z4l5oAqOdJRBCsUyMaM/edit?usp=share_link"",""ตรัง!J821"")+IMPORTRANGE(""https://docs.google.com/spreadsheets/d/1T5rRTzFc79aSIvqnzkZNvwPstq829QYz_xALlO1Z0s8/edi"&amp;"t?usp=share_link"",""นครศรีธรรมราช!J821"")+IMPORTRANGE(""https://docs.google.com/spreadsheets/d/1BeghqumK0IvCmRd2QOy6_afsZq7ZtAGrSnVJy2u7WmY/edit?usp=share_link"",""นราธิวาส!J821"")+IMPORTRANGE(""https://docs.google.com/spreadsheets/d/1IwnW3-jjRf74MCLW-6P"&amp;"iFwMUffRQXZwZA7YM609NmRc/edit?usp=share_link"",""ปัตตานี!J821"")+IMPORTRANGE(""https://docs.google.com/spreadsheets/d/1vl4QWbWdFruual5o_wdo6ZSqXZ_it806oja4CctTLKs/edit?usp=share_link"",""พังงา!J821"")+IMPORTRANGE(""https://docs.google.com/spreadsheets/d/1"&amp;"b6QssHQp2FoAPSMKHOy273KNzAomaIKhtdlvuZ_zDNE/edit?usp=share_link"",""พัทลุง!J821"")+IMPORTRANGE(""https://docs.google.com/spreadsheets/d/1o7UZe4_OqlqtLDHrj01Z2YFRSZDf1DMy1n3XViHaxRc/edit?usp=share_link"",""ภูเก็ต!J821"")+IMPORTRANGE(""https://docs.google.c"&amp;"om/spreadsheets/d/1ctPm1vUzcUCPuOj9-eoHUD85PqINFqUB0TjdSWmR5-c/edit?usp=share_link"",""ยะลา!J821"")+IMPORTRANGE(""https://docs.google.com/spreadsheets/d/1YiDIE7Klmt8osgdapRqYWNr7iPGFSsiJqq46S7PYRE0/edit?usp=share_link"",""ระนอง!J821"")+IMPORTRANGE(""https"&amp;"://docs.google.com/spreadsheets/d/16o_4B-V7AWw_6E93bSpXj_XxVv1oVQctk-B6z1dNEWU/edit?usp=share_link"",""สงขลา!J821"")+IMPORTRANGE(""https://docs.google.com/spreadsheets/d/16cywr71Fj4fA5OGRHsZh30ZG2gwJhMAQv69oVBzYHv0/edit?usp=share_link"",""สตูล!J821"")+IMP"&amp;"ORTRANGE(""https://docs.google.com/spreadsheets/d/1vO9Sws6kMtrVtyvrAJptINXjK8TFBoX9xLYOVK_C8bQ/edit?usp=share_link"",""สุราษฎร์ธานี!J821"")"),15169566.26)</f>
        <v>15169566.26</v>
      </c>
      <c r="K821" s="38">
        <f t="shared" ref="K821:K828" ca="1" si="379">IF(I821&gt;0,J821*100/I821,0)</f>
        <v>75.340780838265857</v>
      </c>
      <c r="L821" s="38"/>
      <c r="M821" s="38"/>
      <c r="N821" s="38"/>
      <c r="O821" s="38"/>
      <c r="P821" s="3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20.25" customHeight="1">
      <c r="A822" s="743"/>
      <c r="B822" s="575"/>
      <c r="C822" s="575"/>
      <c r="D822" s="574"/>
      <c r="E822" s="575"/>
      <c r="F822" s="575"/>
      <c r="G822" s="189"/>
      <c r="H822" s="36" t="s">
        <v>35</v>
      </c>
      <c r="I822" s="37">
        <f ca="1">IFERROR(__xludf.DUMMYFUNCTION("IMPORTRANGE(""https://docs.google.com/spreadsheets/d/1kC41EOXpGBFOW658Fs3oD8beYlym0-zO54WY-2Qnp9I/edit?usp=share_link"",""กระบี่!I822"")
+IMPORTRANGE(""https://docs.google.com/spreadsheets/d/1FbzMZY_f3MDiEuK7RpCQKrilJ_kpX0Wm7QBZ1L7EjIU/edit?usp=share_link"&amp;""",""ชุมพร!I822"")+IMPORTRANGE(""https://docs.google.com/spreadsheets/d/1v5sN-00LrXuhBxw4dkh2GrG_z4l5oAqOdJRBCsUyMaM/edit?usp=share_link"",""ตรัง!I822"")+IMPORTRANGE(""https://docs.google.com/spreadsheets/d/1T5rRTzFc79aSIvqnzkZNvwPstq829QYz_xALlO1Z0s8/edi"&amp;"t?usp=share_link"",""นครศรีธรรมราช!I822"")+IMPORTRANGE(""https://docs.google.com/spreadsheets/d/1BeghqumK0IvCmRd2QOy6_afsZq7ZtAGrSnVJy2u7WmY/edit?usp=share_link"",""นราธิวาส!I822"")+IMPORTRANGE(""https://docs.google.com/spreadsheets/d/1IwnW3-jjRf74MCLW-6P"&amp;"iFwMUffRQXZwZA7YM609NmRc/edit?usp=share_link"",""ปัตตานี!I822"")+IMPORTRANGE(""https://docs.google.com/spreadsheets/d/1vl4QWbWdFruual5o_wdo6ZSqXZ_it806oja4CctTLKs/edit?usp=share_link"",""พังงา!I822"")+IMPORTRANGE(""https://docs.google.com/spreadsheets/d/1"&amp;"b6QssHQp2FoAPSMKHOy273KNzAomaIKhtdlvuZ_zDNE/edit?usp=share_link"",""พัทลุง!I822"")+IMPORTRANGE(""https://docs.google.com/spreadsheets/d/1o7UZe4_OqlqtLDHrj01Z2YFRSZDf1DMy1n3XViHaxRc/edit?usp=share_link"",""ภูเก็ต!I822"")+IMPORTRANGE(""https://docs.google.c"&amp;"om/spreadsheets/d/1ctPm1vUzcUCPuOj9-eoHUD85PqINFqUB0TjdSWmR5-c/edit?usp=share_link"",""ยะลา!I822"")+IMPORTRANGE(""https://docs.google.com/spreadsheets/d/1YiDIE7Klmt8osgdapRqYWNr7iPGFSsiJqq46S7PYRE0/edit?usp=share_link"",""ระนอง!I822"")+IMPORTRANGE(""https"&amp;"://docs.google.com/spreadsheets/d/16o_4B-V7AWw_6E93bSpXj_XxVv1oVQctk-B6z1dNEWU/edit?usp=share_link"",""สงขลา!I822"")+IMPORTRANGE(""https://docs.google.com/spreadsheets/d/16cywr71Fj4fA5OGRHsZh30ZG2gwJhMAQv69oVBzYHv0/edit?usp=share_link"",""สตูล!I822"")+IMP"&amp;"ORTRANGE(""https://docs.google.com/spreadsheets/d/1vO9Sws6kMtrVtyvrAJptINXjK8TFBoX9xLYOVK_C8bQ/edit?usp=share_link"",""สุราษฎร์ธานี!I822"")"),1500)</f>
        <v>1500</v>
      </c>
      <c r="J822" s="37">
        <f ca="1">IFERROR(__xludf.DUMMYFUNCTION("IMPORTRANGE(""https://docs.google.com/spreadsheets/d/1kC41EOXpGBFOW658Fs3oD8beYlym0-zO54WY-2Qnp9I/edit?usp=share_link"",""กระบี่!J822"")
+IMPORTRANGE(""https://docs.google.com/spreadsheets/d/1FbzMZY_f3MDiEuK7RpCQKrilJ_kpX0Wm7QBZ1L7EjIU/edit?usp=share_link"&amp;""",""ชุมพร!J822"")+IMPORTRANGE(""https://docs.google.com/spreadsheets/d/1v5sN-00LrXuhBxw4dkh2GrG_z4l5oAqOdJRBCsUyMaM/edit?usp=share_link"",""ตรัง!J822"")+IMPORTRANGE(""https://docs.google.com/spreadsheets/d/1T5rRTzFc79aSIvqnzkZNvwPstq829QYz_xALlO1Z0s8/edi"&amp;"t?usp=share_link"",""นครศรีธรรมราช!J822"")+IMPORTRANGE(""https://docs.google.com/spreadsheets/d/1BeghqumK0IvCmRd2QOy6_afsZq7ZtAGrSnVJy2u7WmY/edit?usp=share_link"",""นราธิวาส!J822"")+IMPORTRANGE(""https://docs.google.com/spreadsheets/d/1IwnW3-jjRf74MCLW-6P"&amp;"iFwMUffRQXZwZA7YM609NmRc/edit?usp=share_link"",""ปัตตานี!J822"")+IMPORTRANGE(""https://docs.google.com/spreadsheets/d/1vl4QWbWdFruual5o_wdo6ZSqXZ_it806oja4CctTLKs/edit?usp=share_link"",""พังงา!J822"")+IMPORTRANGE(""https://docs.google.com/spreadsheets/d/1"&amp;"b6QssHQp2FoAPSMKHOy273KNzAomaIKhtdlvuZ_zDNE/edit?usp=share_link"",""พัทลุง!J822"")+IMPORTRANGE(""https://docs.google.com/spreadsheets/d/1o7UZe4_OqlqtLDHrj01Z2YFRSZDf1DMy1n3XViHaxRc/edit?usp=share_link"",""ภูเก็ต!J822"")+IMPORTRANGE(""https://docs.google.c"&amp;"om/spreadsheets/d/1ctPm1vUzcUCPuOj9-eoHUD85PqINFqUB0TjdSWmR5-c/edit?usp=share_link"",""ยะลา!J822"")+IMPORTRANGE(""https://docs.google.com/spreadsheets/d/1YiDIE7Klmt8osgdapRqYWNr7iPGFSsiJqq46S7PYRE0/edit?usp=share_link"",""ระนอง!J822"")+IMPORTRANGE(""https"&amp;"://docs.google.com/spreadsheets/d/16o_4B-V7AWw_6E93bSpXj_XxVv1oVQctk-B6z1dNEWU/edit?usp=share_link"",""สงขลา!J822"")+IMPORTRANGE(""https://docs.google.com/spreadsheets/d/16cywr71Fj4fA5OGRHsZh30ZG2gwJhMAQv69oVBzYHv0/edit?usp=share_link"",""สตูล!J822"")+IMP"&amp;"ORTRANGE(""https://docs.google.com/spreadsheets/d/1vO9Sws6kMtrVtyvrAJptINXjK8TFBoX9xLYOVK_C8bQ/edit?usp=share_link"",""สุราษฎร์ธานี!J822"")"),1194)</f>
        <v>1194</v>
      </c>
      <c r="K822" s="38">
        <f t="shared" ca="1" si="379"/>
        <v>79.599999999999994</v>
      </c>
      <c r="L822" s="38"/>
      <c r="M822" s="38"/>
      <c r="N822" s="38"/>
      <c r="O822" s="38"/>
      <c r="P822" s="3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20.25" customHeight="1">
      <c r="A823" s="743"/>
      <c r="B823" s="576" t="s">
        <v>327</v>
      </c>
      <c r="C823" s="575"/>
      <c r="D823" s="574"/>
      <c r="E823" s="575"/>
      <c r="F823" s="575"/>
      <c r="G823" s="189"/>
      <c r="H823" s="36" t="s">
        <v>12</v>
      </c>
      <c r="I823" s="37">
        <f ca="1">IFERROR(__xludf.DUMMYFUNCTION("IMPORTRANGE(""https://docs.google.com/spreadsheets/d/1kC41EOXpGBFOW658Fs3oD8beYlym0-zO54WY-2Qnp9I/edit?usp=share_link"",""กระบี่!I823"")
+IMPORTRANGE(""https://docs.google.com/spreadsheets/d/1FbzMZY_f3MDiEuK7RpCQKrilJ_kpX0Wm7QBZ1L7EjIU/edit?usp=share_link"&amp;""",""ชุมพร!I823"")+IMPORTRANGE(""https://docs.google.com/spreadsheets/d/1v5sN-00LrXuhBxw4dkh2GrG_z4l5oAqOdJRBCsUyMaM/edit?usp=share_link"",""ตรัง!I823"")+IMPORTRANGE(""https://docs.google.com/spreadsheets/d/1T5rRTzFc79aSIvqnzkZNvwPstq829QYz_xALlO1Z0s8/edi"&amp;"t?usp=share_link"",""นครศรีธรรมราช!I823"")+IMPORTRANGE(""https://docs.google.com/spreadsheets/d/1BeghqumK0IvCmRd2QOy6_afsZq7ZtAGrSnVJy2u7WmY/edit?usp=share_link"",""นราธิวาส!I823"")+IMPORTRANGE(""https://docs.google.com/spreadsheets/d/1IwnW3-jjRf74MCLW-6P"&amp;"iFwMUffRQXZwZA7YM609NmRc/edit?usp=share_link"",""ปัตตานี!I823"")+IMPORTRANGE(""https://docs.google.com/spreadsheets/d/1vl4QWbWdFruual5o_wdo6ZSqXZ_it806oja4CctTLKs/edit?usp=share_link"",""พังงา!I823"")+IMPORTRANGE(""https://docs.google.com/spreadsheets/d/1"&amp;"b6QssHQp2FoAPSMKHOy273KNzAomaIKhtdlvuZ_zDNE/edit?usp=share_link"",""พัทลุง!I823"")+IMPORTRANGE(""https://docs.google.com/spreadsheets/d/1o7UZe4_OqlqtLDHrj01Z2YFRSZDf1DMy1n3XViHaxRc/edit?usp=share_link"",""ภูเก็ต!I823"")+IMPORTRANGE(""https://docs.google.c"&amp;"om/spreadsheets/d/1ctPm1vUzcUCPuOj9-eoHUD85PqINFqUB0TjdSWmR5-c/edit?usp=share_link"",""ยะลา!I823"")+IMPORTRANGE(""https://docs.google.com/spreadsheets/d/1YiDIE7Klmt8osgdapRqYWNr7iPGFSsiJqq46S7PYRE0/edit?usp=share_link"",""ระนอง!I823"")+IMPORTRANGE(""https"&amp;"://docs.google.com/spreadsheets/d/16o_4B-V7AWw_6E93bSpXj_XxVv1oVQctk-B6z1dNEWU/edit?usp=share_link"",""สงขลา!I823"")+IMPORTRANGE(""https://docs.google.com/spreadsheets/d/16cywr71Fj4fA5OGRHsZh30ZG2gwJhMAQv69oVBzYHv0/edit?usp=share_link"",""สตูล!I823"")+IMP"&amp;"ORTRANGE(""https://docs.google.com/spreadsheets/d/1vO9Sws6kMtrVtyvrAJptINXjK8TFBoX9xLYOVK_C8bQ/edit?usp=share_link"",""สุราษฎร์ธานี!I823"")"),14139693.52)</f>
        <v>14139693.52</v>
      </c>
      <c r="J823" s="37">
        <f ca="1">IFERROR(__xludf.DUMMYFUNCTION("IMPORTRANGE(""https://docs.google.com/spreadsheets/d/1kC41EOXpGBFOW658Fs3oD8beYlym0-zO54WY-2Qnp9I/edit?usp=share_link"",""กระบี่!J823"")
+IMPORTRANGE(""https://docs.google.com/spreadsheets/d/1FbzMZY_f3MDiEuK7RpCQKrilJ_kpX0Wm7QBZ1L7EjIU/edit?usp=share_link"&amp;""",""ชุมพร!J823"")+IMPORTRANGE(""https://docs.google.com/spreadsheets/d/1v5sN-00LrXuhBxw4dkh2GrG_z4l5oAqOdJRBCsUyMaM/edit?usp=share_link"",""ตรัง!J823"")+IMPORTRANGE(""https://docs.google.com/spreadsheets/d/1T5rRTzFc79aSIvqnzkZNvwPstq829QYz_xALlO1Z0s8/edi"&amp;"t?usp=share_link"",""นครศรีธรรมราช!J823"")+IMPORTRANGE(""https://docs.google.com/spreadsheets/d/1BeghqumK0IvCmRd2QOy6_afsZq7ZtAGrSnVJy2u7WmY/edit?usp=share_link"",""นราธิวาส!J823"")+IMPORTRANGE(""https://docs.google.com/spreadsheets/d/1IwnW3-jjRf74MCLW-6P"&amp;"iFwMUffRQXZwZA7YM609NmRc/edit?usp=share_link"",""ปัตตานี!J823"")+IMPORTRANGE(""https://docs.google.com/spreadsheets/d/1vl4QWbWdFruual5o_wdo6ZSqXZ_it806oja4CctTLKs/edit?usp=share_link"",""พังงา!J823"")+IMPORTRANGE(""https://docs.google.com/spreadsheets/d/1"&amp;"b6QssHQp2FoAPSMKHOy273KNzAomaIKhtdlvuZ_zDNE/edit?usp=share_link"",""พัทลุง!J823"")+IMPORTRANGE(""https://docs.google.com/spreadsheets/d/1o7UZe4_OqlqtLDHrj01Z2YFRSZDf1DMy1n3XViHaxRc/edit?usp=share_link"",""ภูเก็ต!J823"")+IMPORTRANGE(""https://docs.google.c"&amp;"om/spreadsheets/d/1ctPm1vUzcUCPuOj9-eoHUD85PqINFqUB0TjdSWmR5-c/edit?usp=share_link"",""ยะลา!J823"")+IMPORTRANGE(""https://docs.google.com/spreadsheets/d/1YiDIE7Klmt8osgdapRqYWNr7iPGFSsiJqq46S7PYRE0/edit?usp=share_link"",""ระนอง!J823"")+IMPORTRANGE(""https"&amp;"://docs.google.com/spreadsheets/d/16o_4B-V7AWw_6E93bSpXj_XxVv1oVQctk-B6z1dNEWU/edit?usp=share_link"",""สงขลา!J823"")+IMPORTRANGE(""https://docs.google.com/spreadsheets/d/16cywr71Fj4fA5OGRHsZh30ZG2gwJhMAQv69oVBzYHv0/edit?usp=share_link"",""สตูล!J823"")+IMP"&amp;"ORTRANGE(""https://docs.google.com/spreadsheets/d/1vO9Sws6kMtrVtyvrAJptINXjK8TFBoX9xLYOVK_C8bQ/edit?usp=share_link"",""สุราษฎร์ธานี!J823"")"),4144590.07999999)</f>
        <v>4144590.0799999898</v>
      </c>
      <c r="K823" s="38">
        <f t="shared" ca="1" si="379"/>
        <v>29.311739141570801</v>
      </c>
      <c r="L823" s="38"/>
      <c r="M823" s="38"/>
      <c r="N823" s="38"/>
      <c r="O823" s="38"/>
      <c r="P823" s="3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20.25" customHeight="1">
      <c r="A824" s="743"/>
      <c r="B824" s="575"/>
      <c r="C824" s="575"/>
      <c r="D824" s="574"/>
      <c r="E824" s="575"/>
      <c r="F824" s="575"/>
      <c r="G824" s="189"/>
      <c r="H824" s="36" t="s">
        <v>35</v>
      </c>
      <c r="I824" s="37">
        <f ca="1">IFERROR(__xludf.DUMMYFUNCTION("IMPORTRANGE(""https://docs.google.com/spreadsheets/d/1kC41EOXpGBFOW658Fs3oD8beYlym0-zO54WY-2Qnp9I/edit?usp=share_link"",""กระบี่!I824"")
+IMPORTRANGE(""https://docs.google.com/spreadsheets/d/1FbzMZY_f3MDiEuK7RpCQKrilJ_kpX0Wm7QBZ1L7EjIU/edit?usp=share_link"&amp;""",""ชุมพร!I824"")+IMPORTRANGE(""https://docs.google.com/spreadsheets/d/1v5sN-00LrXuhBxw4dkh2GrG_z4l5oAqOdJRBCsUyMaM/edit?usp=share_link"",""ตรัง!I824"")+IMPORTRANGE(""https://docs.google.com/spreadsheets/d/1T5rRTzFc79aSIvqnzkZNvwPstq829QYz_xALlO1Z0s8/edi"&amp;"t?usp=share_link"",""นครศรีธรรมราช!I824"")+IMPORTRANGE(""https://docs.google.com/spreadsheets/d/1BeghqumK0IvCmRd2QOy6_afsZq7ZtAGrSnVJy2u7WmY/edit?usp=share_link"",""นราธิวาส!I824"")+IMPORTRANGE(""https://docs.google.com/spreadsheets/d/1IwnW3-jjRf74MCLW-6P"&amp;"iFwMUffRQXZwZA7YM609NmRc/edit?usp=share_link"",""ปัตตานี!I824"")+IMPORTRANGE(""https://docs.google.com/spreadsheets/d/1vl4QWbWdFruual5o_wdo6ZSqXZ_it806oja4CctTLKs/edit?usp=share_link"",""พังงา!I824"")+IMPORTRANGE(""https://docs.google.com/spreadsheets/d/1"&amp;"b6QssHQp2FoAPSMKHOy273KNzAomaIKhtdlvuZ_zDNE/edit?usp=share_link"",""พัทลุง!I824"")+IMPORTRANGE(""https://docs.google.com/spreadsheets/d/1o7UZe4_OqlqtLDHrj01Z2YFRSZDf1DMy1n3XViHaxRc/edit?usp=share_link"",""ภูเก็ต!I824"")+IMPORTRANGE(""https://docs.google.c"&amp;"om/spreadsheets/d/1ctPm1vUzcUCPuOj9-eoHUD85PqINFqUB0TjdSWmR5-c/edit?usp=share_link"",""ยะลา!I824"")+IMPORTRANGE(""https://docs.google.com/spreadsheets/d/1YiDIE7Klmt8osgdapRqYWNr7iPGFSsiJqq46S7PYRE0/edit?usp=share_link"",""ระนอง!I824"")+IMPORTRANGE(""https"&amp;"://docs.google.com/spreadsheets/d/16o_4B-V7AWw_6E93bSpXj_XxVv1oVQctk-B6z1dNEWU/edit?usp=share_link"",""สงขลา!I824"")+IMPORTRANGE(""https://docs.google.com/spreadsheets/d/16cywr71Fj4fA5OGRHsZh30ZG2gwJhMAQv69oVBzYHv0/edit?usp=share_link"",""สตูล!I824"")+IMP"&amp;"ORTRANGE(""https://docs.google.com/spreadsheets/d/1vO9Sws6kMtrVtyvrAJptINXjK8TFBoX9xLYOVK_C8bQ/edit?usp=share_link"",""สุราษฎร์ธานี!I824"")"),681)</f>
        <v>681</v>
      </c>
      <c r="J824" s="37">
        <f ca="1">IFERROR(__xludf.DUMMYFUNCTION("IMPORTRANGE(""https://docs.google.com/spreadsheets/d/1kC41EOXpGBFOW658Fs3oD8beYlym0-zO54WY-2Qnp9I/edit?usp=share_link"",""กระบี่!J824"")
+IMPORTRANGE(""https://docs.google.com/spreadsheets/d/1FbzMZY_f3MDiEuK7RpCQKrilJ_kpX0Wm7QBZ1L7EjIU/edit?usp=share_link"&amp;""",""ชุมพร!J824"")+IMPORTRANGE(""https://docs.google.com/spreadsheets/d/1v5sN-00LrXuhBxw4dkh2GrG_z4l5oAqOdJRBCsUyMaM/edit?usp=share_link"",""ตรัง!J824"")+IMPORTRANGE(""https://docs.google.com/spreadsheets/d/1T5rRTzFc79aSIvqnzkZNvwPstq829QYz_xALlO1Z0s8/edi"&amp;"t?usp=share_link"",""นครศรีธรรมราช!J824"")+IMPORTRANGE(""https://docs.google.com/spreadsheets/d/1BeghqumK0IvCmRd2QOy6_afsZq7ZtAGrSnVJy2u7WmY/edit?usp=share_link"",""นราธิวาส!J824"")+IMPORTRANGE(""https://docs.google.com/spreadsheets/d/1IwnW3-jjRf74MCLW-6P"&amp;"iFwMUffRQXZwZA7YM609NmRc/edit?usp=share_link"",""ปัตตานี!J824"")+IMPORTRANGE(""https://docs.google.com/spreadsheets/d/1vl4QWbWdFruual5o_wdo6ZSqXZ_it806oja4CctTLKs/edit?usp=share_link"",""พังงา!J824"")+IMPORTRANGE(""https://docs.google.com/spreadsheets/d/1"&amp;"b6QssHQp2FoAPSMKHOy273KNzAomaIKhtdlvuZ_zDNE/edit?usp=share_link"",""พัทลุง!J824"")+IMPORTRANGE(""https://docs.google.com/spreadsheets/d/1o7UZe4_OqlqtLDHrj01Z2YFRSZDf1DMy1n3XViHaxRc/edit?usp=share_link"",""ภูเก็ต!J824"")+IMPORTRANGE(""https://docs.google.c"&amp;"om/spreadsheets/d/1ctPm1vUzcUCPuOj9-eoHUD85PqINFqUB0TjdSWmR5-c/edit?usp=share_link"",""ยะลา!J824"")+IMPORTRANGE(""https://docs.google.com/spreadsheets/d/1YiDIE7Klmt8osgdapRqYWNr7iPGFSsiJqq46S7PYRE0/edit?usp=share_link"",""ระนอง!J824"")+IMPORTRANGE(""https"&amp;"://docs.google.com/spreadsheets/d/16o_4B-V7AWw_6E93bSpXj_XxVv1oVQctk-B6z1dNEWU/edit?usp=share_link"",""สงขลา!J824"")+IMPORTRANGE(""https://docs.google.com/spreadsheets/d/16cywr71Fj4fA5OGRHsZh30ZG2gwJhMAQv69oVBzYHv0/edit?usp=share_link"",""สตูล!J824"")+IMP"&amp;"ORTRANGE(""https://docs.google.com/spreadsheets/d/1vO9Sws6kMtrVtyvrAJptINXjK8TFBoX9xLYOVK_C8bQ/edit?usp=share_link"",""สุราษฎร์ธานี!J824"")"),574)</f>
        <v>574</v>
      </c>
      <c r="K824" s="38">
        <f t="shared" ca="1" si="379"/>
        <v>84.287812041116013</v>
      </c>
      <c r="L824" s="38"/>
      <c r="M824" s="38"/>
      <c r="N824" s="38"/>
      <c r="O824" s="38"/>
      <c r="P824" s="3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20.25" customHeight="1">
      <c r="A825" s="743"/>
      <c r="B825" s="576" t="s">
        <v>328</v>
      </c>
      <c r="C825" s="575"/>
      <c r="D825" s="574"/>
      <c r="E825" s="575"/>
      <c r="F825" s="575"/>
      <c r="G825" s="189"/>
      <c r="H825" s="36" t="s">
        <v>12</v>
      </c>
      <c r="I825" s="37">
        <f ca="1">IFERROR(__xludf.DUMMYFUNCTION("IMPORTRANGE(""https://docs.google.com/spreadsheets/d/1kC41EOXpGBFOW658Fs3oD8beYlym0-zO54WY-2Qnp9I/edit?usp=share_link"",""กระบี่!I825"")
+IMPORTRANGE(""https://docs.google.com/spreadsheets/d/1FbzMZY_f3MDiEuK7RpCQKrilJ_kpX0Wm7QBZ1L7EjIU/edit?usp=share_link"&amp;""",""ชุมพร!I825"")+IMPORTRANGE(""https://docs.google.com/spreadsheets/d/1v5sN-00LrXuhBxw4dkh2GrG_z4l5oAqOdJRBCsUyMaM/edit?usp=share_link"",""ตรัง!I825"")+IMPORTRANGE(""https://docs.google.com/spreadsheets/d/1T5rRTzFc79aSIvqnzkZNvwPstq829QYz_xALlO1Z0s8/edi"&amp;"t?usp=share_link"",""นครศรีธรรมราช!I825"")+IMPORTRANGE(""https://docs.google.com/spreadsheets/d/1BeghqumK0IvCmRd2QOy6_afsZq7ZtAGrSnVJy2u7WmY/edit?usp=share_link"",""นราธิวาส!I825"")+IMPORTRANGE(""https://docs.google.com/spreadsheets/d/1IwnW3-jjRf74MCLW-6P"&amp;"iFwMUffRQXZwZA7YM609NmRc/edit?usp=share_link"",""ปัตตานี!I825"")+IMPORTRANGE(""https://docs.google.com/spreadsheets/d/1vl4QWbWdFruual5o_wdo6ZSqXZ_it806oja4CctTLKs/edit?usp=share_link"",""พังงา!I825"")+IMPORTRANGE(""https://docs.google.com/spreadsheets/d/1"&amp;"b6QssHQp2FoAPSMKHOy273KNzAomaIKhtdlvuZ_zDNE/edit?usp=share_link"",""พัทลุง!I825"")+IMPORTRANGE(""https://docs.google.com/spreadsheets/d/1o7UZe4_OqlqtLDHrj01Z2YFRSZDf1DMy1n3XViHaxRc/edit?usp=share_link"",""ภูเก็ต!I825"")+IMPORTRANGE(""https://docs.google.c"&amp;"om/spreadsheets/d/1ctPm1vUzcUCPuOj9-eoHUD85PqINFqUB0TjdSWmR5-c/edit?usp=share_link"",""ยะลา!I825"")+IMPORTRANGE(""https://docs.google.com/spreadsheets/d/1YiDIE7Klmt8osgdapRqYWNr7iPGFSsiJqq46S7PYRE0/edit?usp=share_link"",""ระนอง!I825"")+IMPORTRANGE(""https"&amp;"://docs.google.com/spreadsheets/d/16o_4B-V7AWw_6E93bSpXj_XxVv1oVQctk-B6z1dNEWU/edit?usp=share_link"",""สงขลา!I825"")+IMPORTRANGE(""https://docs.google.com/spreadsheets/d/16cywr71Fj4fA5OGRHsZh30ZG2gwJhMAQv69oVBzYHv0/edit?usp=share_link"",""สตูล!I825"")+IMP"&amp;"ORTRANGE(""https://docs.google.com/spreadsheets/d/1vO9Sws6kMtrVtyvrAJptINXjK8TFBoX9xLYOVK_C8bQ/edit?usp=share_link"",""สุราษฎร์ธานี!I825"")"),213380.47)</f>
        <v>213380.47</v>
      </c>
      <c r="J825" s="37">
        <f ca="1">IFERROR(__xludf.DUMMYFUNCTION("IMPORTRANGE(""https://docs.google.com/spreadsheets/d/1kC41EOXpGBFOW658Fs3oD8beYlym0-zO54WY-2Qnp9I/edit?usp=share_link"",""กระบี่!J825"")
+IMPORTRANGE(""https://docs.google.com/spreadsheets/d/1FbzMZY_f3MDiEuK7RpCQKrilJ_kpX0Wm7QBZ1L7EjIU/edit?usp=share_link"&amp;""",""ชุมพร!J825"")+IMPORTRANGE(""https://docs.google.com/spreadsheets/d/1v5sN-00LrXuhBxw4dkh2GrG_z4l5oAqOdJRBCsUyMaM/edit?usp=share_link"",""ตรัง!J825"")+IMPORTRANGE(""https://docs.google.com/spreadsheets/d/1T5rRTzFc79aSIvqnzkZNvwPstq829QYz_xALlO1Z0s8/edi"&amp;"t?usp=share_link"",""นครศรีธรรมราช!J825"")+IMPORTRANGE(""https://docs.google.com/spreadsheets/d/1BeghqumK0IvCmRd2QOy6_afsZq7ZtAGrSnVJy2u7WmY/edit?usp=share_link"",""นราธิวาส!J825"")+IMPORTRANGE(""https://docs.google.com/spreadsheets/d/1IwnW3-jjRf74MCLW-6P"&amp;"iFwMUffRQXZwZA7YM609NmRc/edit?usp=share_link"",""ปัตตานี!J825"")+IMPORTRANGE(""https://docs.google.com/spreadsheets/d/1vl4QWbWdFruual5o_wdo6ZSqXZ_it806oja4CctTLKs/edit?usp=share_link"",""พังงา!J825"")+IMPORTRANGE(""https://docs.google.com/spreadsheets/d/1"&amp;"b6QssHQp2FoAPSMKHOy273KNzAomaIKhtdlvuZ_zDNE/edit?usp=share_link"",""พัทลุง!J825"")+IMPORTRANGE(""https://docs.google.com/spreadsheets/d/1o7UZe4_OqlqtLDHrj01Z2YFRSZDf1DMy1n3XViHaxRc/edit?usp=share_link"",""ภูเก็ต!J825"")+IMPORTRANGE(""https://docs.google.c"&amp;"om/spreadsheets/d/1ctPm1vUzcUCPuOj9-eoHUD85PqINFqUB0TjdSWmR5-c/edit?usp=share_link"",""ยะลา!J825"")+IMPORTRANGE(""https://docs.google.com/spreadsheets/d/1YiDIE7Klmt8osgdapRqYWNr7iPGFSsiJqq46S7PYRE0/edit?usp=share_link"",""ระนอง!J825"")+IMPORTRANGE(""https"&amp;"://docs.google.com/spreadsheets/d/16o_4B-V7AWw_6E93bSpXj_XxVv1oVQctk-B6z1dNEWU/edit?usp=share_link"",""สงขลา!J825"")+IMPORTRANGE(""https://docs.google.com/spreadsheets/d/16cywr71Fj4fA5OGRHsZh30ZG2gwJhMAQv69oVBzYHv0/edit?usp=share_link"",""สตูล!J825"")+IMP"&amp;"ORTRANGE(""https://docs.google.com/spreadsheets/d/1vO9Sws6kMtrVtyvrAJptINXjK8TFBoX9xLYOVK_C8bQ/edit?usp=share_link"",""สุราษฎร์ธานี!J825"")"),439954.85)</f>
        <v>439954.85</v>
      </c>
      <c r="K825" s="38">
        <f t="shared" ca="1" si="379"/>
        <v>206.18327909766063</v>
      </c>
      <c r="L825" s="38"/>
      <c r="M825" s="38"/>
      <c r="N825" s="38"/>
      <c r="O825" s="38"/>
      <c r="P825" s="3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20.25" customHeight="1">
      <c r="A826" s="743"/>
      <c r="B826" s="575"/>
      <c r="C826" s="575"/>
      <c r="D826" s="574"/>
      <c r="E826" s="575"/>
      <c r="F826" s="575"/>
      <c r="G826" s="189"/>
      <c r="H826" s="36" t="s">
        <v>35</v>
      </c>
      <c r="I826" s="37">
        <f ca="1">IFERROR(__xludf.DUMMYFUNCTION("IMPORTRANGE(""https://docs.google.com/spreadsheets/d/1kC41EOXpGBFOW658Fs3oD8beYlym0-zO54WY-2Qnp9I/edit?usp=share_link"",""กระบี่!I826"")
+IMPORTRANGE(""https://docs.google.com/spreadsheets/d/1FbzMZY_f3MDiEuK7RpCQKrilJ_kpX0Wm7QBZ1L7EjIU/edit?usp=share_link"&amp;""",""ชุมพร!I826"")+IMPORTRANGE(""https://docs.google.com/spreadsheets/d/1v5sN-00LrXuhBxw4dkh2GrG_z4l5oAqOdJRBCsUyMaM/edit?usp=share_link"",""ตรัง!I826"")+IMPORTRANGE(""https://docs.google.com/spreadsheets/d/1T5rRTzFc79aSIvqnzkZNvwPstq829QYz_xALlO1Z0s8/edi"&amp;"t?usp=share_link"",""นครศรีธรรมราช!I826"")+IMPORTRANGE(""https://docs.google.com/spreadsheets/d/1BeghqumK0IvCmRd2QOy6_afsZq7ZtAGrSnVJy2u7WmY/edit?usp=share_link"",""นราธิวาส!I826"")+IMPORTRANGE(""https://docs.google.com/spreadsheets/d/1IwnW3-jjRf74MCLW-6P"&amp;"iFwMUffRQXZwZA7YM609NmRc/edit?usp=share_link"",""ปัตตานี!I826"")+IMPORTRANGE(""https://docs.google.com/spreadsheets/d/1vl4QWbWdFruual5o_wdo6ZSqXZ_it806oja4CctTLKs/edit?usp=share_link"",""พังงา!I826"")+IMPORTRANGE(""https://docs.google.com/spreadsheets/d/1"&amp;"b6QssHQp2FoAPSMKHOy273KNzAomaIKhtdlvuZ_zDNE/edit?usp=share_link"",""พัทลุง!I826"")+IMPORTRANGE(""https://docs.google.com/spreadsheets/d/1o7UZe4_OqlqtLDHrj01Z2YFRSZDf1DMy1n3XViHaxRc/edit?usp=share_link"",""ภูเก็ต!I826"")+IMPORTRANGE(""https://docs.google.c"&amp;"om/spreadsheets/d/1ctPm1vUzcUCPuOj9-eoHUD85PqINFqUB0TjdSWmR5-c/edit?usp=share_link"",""ยะลา!I826"")+IMPORTRANGE(""https://docs.google.com/spreadsheets/d/1YiDIE7Klmt8osgdapRqYWNr7iPGFSsiJqq46S7PYRE0/edit?usp=share_link"",""ระนอง!I826"")+IMPORTRANGE(""https"&amp;"://docs.google.com/spreadsheets/d/16o_4B-V7AWw_6E93bSpXj_XxVv1oVQctk-B6z1dNEWU/edit?usp=share_link"",""สงขลา!I826"")+IMPORTRANGE(""https://docs.google.com/spreadsheets/d/16cywr71Fj4fA5OGRHsZh30ZG2gwJhMAQv69oVBzYHv0/edit?usp=share_link"",""สตูล!I826"")+IMP"&amp;"ORTRANGE(""https://docs.google.com/spreadsheets/d/1vO9Sws6kMtrVtyvrAJptINXjK8TFBoX9xLYOVK_C8bQ/edit?usp=share_link"",""สุราษฎร์ธานี!I826"")"),465)</f>
        <v>465</v>
      </c>
      <c r="J826" s="37">
        <f ca="1">IFERROR(__xludf.DUMMYFUNCTION("IMPORTRANGE(""https://docs.google.com/spreadsheets/d/1kC41EOXpGBFOW658Fs3oD8beYlym0-zO54WY-2Qnp9I/edit?usp=share_link"",""กระบี่!J826"")
+IMPORTRANGE(""https://docs.google.com/spreadsheets/d/1FbzMZY_f3MDiEuK7RpCQKrilJ_kpX0Wm7QBZ1L7EjIU/edit?usp=share_link"&amp;""",""ชุมพร!J826"")+IMPORTRANGE(""https://docs.google.com/spreadsheets/d/1v5sN-00LrXuhBxw4dkh2GrG_z4l5oAqOdJRBCsUyMaM/edit?usp=share_link"",""ตรัง!J826"")+IMPORTRANGE(""https://docs.google.com/spreadsheets/d/1T5rRTzFc79aSIvqnzkZNvwPstq829QYz_xALlO1Z0s8/edi"&amp;"t?usp=share_link"",""นครศรีธรรมราช!J826"")+IMPORTRANGE(""https://docs.google.com/spreadsheets/d/1BeghqumK0IvCmRd2QOy6_afsZq7ZtAGrSnVJy2u7WmY/edit?usp=share_link"",""นราธิวาส!J826"")+IMPORTRANGE(""https://docs.google.com/spreadsheets/d/1IwnW3-jjRf74MCLW-6P"&amp;"iFwMUffRQXZwZA7YM609NmRc/edit?usp=share_link"",""ปัตตานี!J826"")+IMPORTRANGE(""https://docs.google.com/spreadsheets/d/1vl4QWbWdFruual5o_wdo6ZSqXZ_it806oja4CctTLKs/edit?usp=share_link"",""พังงา!J826"")+IMPORTRANGE(""https://docs.google.com/spreadsheets/d/1"&amp;"b6QssHQp2FoAPSMKHOy273KNzAomaIKhtdlvuZ_zDNE/edit?usp=share_link"",""พัทลุง!J826"")+IMPORTRANGE(""https://docs.google.com/spreadsheets/d/1o7UZe4_OqlqtLDHrj01Z2YFRSZDf1DMy1n3XViHaxRc/edit?usp=share_link"",""ภูเก็ต!J826"")+IMPORTRANGE(""https://docs.google.c"&amp;"om/spreadsheets/d/1ctPm1vUzcUCPuOj9-eoHUD85PqINFqUB0TjdSWmR5-c/edit?usp=share_link"",""ยะลา!J826"")+IMPORTRANGE(""https://docs.google.com/spreadsheets/d/1YiDIE7Klmt8osgdapRqYWNr7iPGFSsiJqq46S7PYRE0/edit?usp=share_link"",""ระนอง!J826"")+IMPORTRANGE(""https"&amp;"://docs.google.com/spreadsheets/d/16o_4B-V7AWw_6E93bSpXj_XxVv1oVQctk-B6z1dNEWU/edit?usp=share_link"",""สงขลา!J826"")+IMPORTRANGE(""https://docs.google.com/spreadsheets/d/16cywr71Fj4fA5OGRHsZh30ZG2gwJhMAQv69oVBzYHv0/edit?usp=share_link"",""สตูล!J826"")+IMP"&amp;"ORTRANGE(""https://docs.google.com/spreadsheets/d/1vO9Sws6kMtrVtyvrAJptINXjK8TFBoX9xLYOVK_C8bQ/edit?usp=share_link"",""สุราษฎร์ธานี!J826"")"),327)</f>
        <v>327</v>
      </c>
      <c r="K826" s="38">
        <f t="shared" ca="1" si="379"/>
        <v>70.322580645161295</v>
      </c>
      <c r="L826" s="38"/>
      <c r="M826" s="38"/>
      <c r="N826" s="38"/>
      <c r="O826" s="38"/>
      <c r="P826" s="3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20.25" customHeight="1">
      <c r="A827" s="743"/>
      <c r="B827" s="576" t="s">
        <v>329</v>
      </c>
      <c r="C827" s="575"/>
      <c r="D827" s="574"/>
      <c r="E827" s="575"/>
      <c r="F827" s="575"/>
      <c r="G827" s="189"/>
      <c r="H827" s="36" t="s">
        <v>12</v>
      </c>
      <c r="I827" s="37">
        <f ca="1">IFERROR(__xludf.DUMMYFUNCTION("IMPORTRANGE(""https://docs.google.com/spreadsheets/d/1kC41EOXpGBFOW658Fs3oD8beYlym0-zO54WY-2Qnp9I/edit?usp=share_link"",""กระบี่!I827"")
+IMPORTRANGE(""https://docs.google.com/spreadsheets/d/1FbzMZY_f3MDiEuK7RpCQKrilJ_kpX0Wm7QBZ1L7EjIU/edit?usp=share_link"&amp;""",""ชุมพร!I827"")+IMPORTRANGE(""https://docs.google.com/spreadsheets/d/1v5sN-00LrXuhBxw4dkh2GrG_z4l5oAqOdJRBCsUyMaM/edit?usp=share_link"",""ตรัง!I827"")+IMPORTRANGE(""https://docs.google.com/spreadsheets/d/1T5rRTzFc79aSIvqnzkZNvwPstq829QYz_xALlO1Z0s8/edi"&amp;"t?usp=share_link"",""นครศรีธรรมราช!I827"")+IMPORTRANGE(""https://docs.google.com/spreadsheets/d/1BeghqumK0IvCmRd2QOy6_afsZq7ZtAGrSnVJy2u7WmY/edit?usp=share_link"",""นราธิวาส!I827"")+IMPORTRANGE(""https://docs.google.com/spreadsheets/d/1IwnW3-jjRf74MCLW-6P"&amp;"iFwMUffRQXZwZA7YM609NmRc/edit?usp=share_link"",""ปัตตานี!I827"")+IMPORTRANGE(""https://docs.google.com/spreadsheets/d/1vl4QWbWdFruual5o_wdo6ZSqXZ_it806oja4CctTLKs/edit?usp=share_link"",""พังงา!I827"")+IMPORTRANGE(""https://docs.google.com/spreadsheets/d/1"&amp;"b6QssHQp2FoAPSMKHOy273KNzAomaIKhtdlvuZ_zDNE/edit?usp=share_link"",""พัทลุง!I827"")+IMPORTRANGE(""https://docs.google.com/spreadsheets/d/1o7UZe4_OqlqtLDHrj01Z2YFRSZDf1DMy1n3XViHaxRc/edit?usp=share_link"",""ภูเก็ต!I827"")+IMPORTRANGE(""https://docs.google.c"&amp;"om/spreadsheets/d/1ctPm1vUzcUCPuOj9-eoHUD85PqINFqUB0TjdSWmR5-c/edit?usp=share_link"",""ยะลา!I827"")+IMPORTRANGE(""https://docs.google.com/spreadsheets/d/1YiDIE7Klmt8osgdapRqYWNr7iPGFSsiJqq46S7PYRE0/edit?usp=share_link"",""ระนอง!I827"")+IMPORTRANGE(""https"&amp;"://docs.google.com/spreadsheets/d/16o_4B-V7AWw_6E93bSpXj_XxVv1oVQctk-B6z1dNEWU/edit?usp=share_link"",""สงขลา!I827"")+IMPORTRANGE(""https://docs.google.com/spreadsheets/d/16cywr71Fj4fA5OGRHsZh30ZG2gwJhMAQv69oVBzYHv0/edit?usp=share_link"",""สตูล!I827"")+IMP"&amp;"ORTRANGE(""https://docs.google.com/spreadsheets/d/1vO9Sws6kMtrVtyvrAJptINXjK8TFBoX9xLYOVK_C8bQ/edit?usp=share_link"",""สุราษฎร์ธานี!I827"")"),14105000)</f>
        <v>14105000</v>
      </c>
      <c r="J827" s="37">
        <f ca="1">IFERROR(__xludf.DUMMYFUNCTION("IMPORTRANGE(""https://docs.google.com/spreadsheets/d/1kC41EOXpGBFOW658Fs3oD8beYlym0-zO54WY-2Qnp9I/edit?usp=share_link"",""กระบี่!J827"")
+IMPORTRANGE(""https://docs.google.com/spreadsheets/d/1FbzMZY_f3MDiEuK7RpCQKrilJ_kpX0Wm7QBZ1L7EjIU/edit?usp=share_link"&amp;""",""ชุมพร!J827"")+IMPORTRANGE(""https://docs.google.com/spreadsheets/d/1v5sN-00LrXuhBxw4dkh2GrG_z4l5oAqOdJRBCsUyMaM/edit?usp=share_link"",""ตรัง!J827"")+IMPORTRANGE(""https://docs.google.com/spreadsheets/d/1T5rRTzFc79aSIvqnzkZNvwPstq829QYz_xALlO1Z0s8/edi"&amp;"t?usp=share_link"",""นครศรีธรรมราช!J827"")+IMPORTRANGE(""https://docs.google.com/spreadsheets/d/1BeghqumK0IvCmRd2QOy6_afsZq7ZtAGrSnVJy2u7WmY/edit?usp=share_link"",""นราธิวาส!J827"")+IMPORTRANGE(""https://docs.google.com/spreadsheets/d/1IwnW3-jjRf74MCLW-6P"&amp;"iFwMUffRQXZwZA7YM609NmRc/edit?usp=share_link"",""ปัตตานี!J827"")+IMPORTRANGE(""https://docs.google.com/spreadsheets/d/1vl4QWbWdFruual5o_wdo6ZSqXZ_it806oja4CctTLKs/edit?usp=share_link"",""พังงา!J827"")+IMPORTRANGE(""https://docs.google.com/spreadsheets/d/1"&amp;"b6QssHQp2FoAPSMKHOy273KNzAomaIKhtdlvuZ_zDNE/edit?usp=share_link"",""พัทลุง!J827"")+IMPORTRANGE(""https://docs.google.com/spreadsheets/d/1o7UZe4_OqlqtLDHrj01Z2YFRSZDf1DMy1n3XViHaxRc/edit?usp=share_link"",""ภูเก็ต!J827"")+IMPORTRANGE(""https://docs.google.c"&amp;"om/spreadsheets/d/1ctPm1vUzcUCPuOj9-eoHUD85PqINFqUB0TjdSWmR5-c/edit?usp=share_link"",""ยะลา!J827"")+IMPORTRANGE(""https://docs.google.com/spreadsheets/d/1YiDIE7Klmt8osgdapRqYWNr7iPGFSsiJqq46S7PYRE0/edit?usp=share_link"",""ระนอง!J827"")+IMPORTRANGE(""https"&amp;"://docs.google.com/spreadsheets/d/16o_4B-V7AWw_6E93bSpXj_XxVv1oVQctk-B6z1dNEWU/edit?usp=share_link"",""สงขลา!J827"")+IMPORTRANGE(""https://docs.google.com/spreadsheets/d/16cywr71Fj4fA5OGRHsZh30ZG2gwJhMAQv69oVBzYHv0/edit?usp=share_link"",""สตูล!J827"")+IMP"&amp;"ORTRANGE(""https://docs.google.com/spreadsheets/d/1vO9Sws6kMtrVtyvrAJptINXjK8TFBoX9xLYOVK_C8bQ/edit?usp=share_link"",""สุราษฎร์ธานี!J827"")"),12640000)</f>
        <v>12640000</v>
      </c>
      <c r="K827" s="38">
        <f t="shared" ca="1" si="379"/>
        <v>89.613612194257357</v>
      </c>
      <c r="L827" s="38"/>
      <c r="M827" s="38"/>
      <c r="N827" s="38"/>
      <c r="O827" s="38"/>
      <c r="P827" s="3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20.25" customHeight="1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IFERROR(__xludf.DUMMYFUNCTION("IMPORTRANGE(""https://docs.google.com/spreadsheets/d/1kC41EOXpGBFOW658Fs3oD8beYlym0-zO54WY-2Qnp9I/edit?usp=share_link"",""กระบี่!I828"")
+IMPORTRANGE(""https://docs.google.com/spreadsheets/d/1FbzMZY_f3MDiEuK7RpCQKrilJ_kpX0Wm7QBZ1L7EjIU/edit?usp=share_link"&amp;""",""ชุมพร!I828"")+IMPORTRANGE(""https://docs.google.com/spreadsheets/d/1v5sN-00LrXuhBxw4dkh2GrG_z4l5oAqOdJRBCsUyMaM/edit?usp=share_link"",""ตรัง!I828"")+IMPORTRANGE(""https://docs.google.com/spreadsheets/d/1T5rRTzFc79aSIvqnzkZNvwPstq829QYz_xALlO1Z0s8/edi"&amp;"t?usp=share_link"",""นครศรีธรรมราช!I828"")+IMPORTRANGE(""https://docs.google.com/spreadsheets/d/1BeghqumK0IvCmRd2QOy6_afsZq7ZtAGrSnVJy2u7WmY/edit?usp=share_link"",""นราธิวาส!I828"")+IMPORTRANGE(""https://docs.google.com/spreadsheets/d/1IwnW3-jjRf74MCLW-6P"&amp;"iFwMUffRQXZwZA7YM609NmRc/edit?usp=share_link"",""ปัตตานี!I828"")+IMPORTRANGE(""https://docs.google.com/spreadsheets/d/1vl4QWbWdFruual5o_wdo6ZSqXZ_it806oja4CctTLKs/edit?usp=share_link"",""พังงา!I828"")+IMPORTRANGE(""https://docs.google.com/spreadsheets/d/1"&amp;"b6QssHQp2FoAPSMKHOy273KNzAomaIKhtdlvuZ_zDNE/edit?usp=share_link"",""พัทลุง!I828"")+IMPORTRANGE(""https://docs.google.com/spreadsheets/d/1o7UZe4_OqlqtLDHrj01Z2YFRSZDf1DMy1n3XViHaxRc/edit?usp=share_link"",""ภูเก็ต!I828"")+IMPORTRANGE(""https://docs.google.c"&amp;"om/spreadsheets/d/1ctPm1vUzcUCPuOj9-eoHUD85PqINFqUB0TjdSWmR5-c/edit?usp=share_link"",""ยะลา!I828"")+IMPORTRANGE(""https://docs.google.com/spreadsheets/d/1YiDIE7Klmt8osgdapRqYWNr7iPGFSsiJqq46S7PYRE0/edit?usp=share_link"",""ระนอง!I828"")+IMPORTRANGE(""https"&amp;"://docs.google.com/spreadsheets/d/16o_4B-V7AWw_6E93bSpXj_XxVv1oVQctk-B6z1dNEWU/edit?usp=share_link"",""สงขลา!I828"")+IMPORTRANGE(""https://docs.google.com/spreadsheets/d/16cywr71Fj4fA5OGRHsZh30ZG2gwJhMAQv69oVBzYHv0/edit?usp=share_link"",""สตูล!I828"")+IMP"&amp;"ORTRANGE(""https://docs.google.com/spreadsheets/d/1vO9Sws6kMtrVtyvrAJptINXjK8TFBoX9xLYOVK_C8bQ/edit?usp=share_link"",""สุราษฎร์ธานี!I828"")"),549)</f>
        <v>549</v>
      </c>
      <c r="J828" s="505">
        <f ca="1">IFERROR(__xludf.DUMMYFUNCTION("IMPORTRANGE(""https://docs.google.com/spreadsheets/d/1kC41EOXpGBFOW658Fs3oD8beYlym0-zO54WY-2Qnp9I/edit?usp=share_link"",""กระบี่!J828"")
+IMPORTRANGE(""https://docs.google.com/spreadsheets/d/1FbzMZY_f3MDiEuK7RpCQKrilJ_kpX0Wm7QBZ1L7EjIU/edit?usp=share_link"&amp;""",""ชุมพร!J828"")+IMPORTRANGE(""https://docs.google.com/spreadsheets/d/1v5sN-00LrXuhBxw4dkh2GrG_z4l5oAqOdJRBCsUyMaM/edit?usp=share_link"",""ตรัง!J828"")+IMPORTRANGE(""https://docs.google.com/spreadsheets/d/1T5rRTzFc79aSIvqnzkZNvwPstq829QYz_xALlO1Z0s8/edi"&amp;"t?usp=share_link"",""นครศรีธรรมราช!J828"")+IMPORTRANGE(""https://docs.google.com/spreadsheets/d/1BeghqumK0IvCmRd2QOy6_afsZq7ZtAGrSnVJy2u7WmY/edit?usp=share_link"",""นราธิวาส!J828"")+IMPORTRANGE(""https://docs.google.com/spreadsheets/d/1IwnW3-jjRf74MCLW-6P"&amp;"iFwMUffRQXZwZA7YM609NmRc/edit?usp=share_link"",""ปัตตานี!J828"")+IMPORTRANGE(""https://docs.google.com/spreadsheets/d/1vl4QWbWdFruual5o_wdo6ZSqXZ_it806oja4CctTLKs/edit?usp=share_link"",""พังงา!J828"")+IMPORTRANGE(""https://docs.google.com/spreadsheets/d/1"&amp;"b6QssHQp2FoAPSMKHOy273KNzAomaIKhtdlvuZ_zDNE/edit?usp=share_link"",""พัทลุง!J828"")+IMPORTRANGE(""https://docs.google.com/spreadsheets/d/1o7UZe4_OqlqtLDHrj01Z2YFRSZDf1DMy1n3XViHaxRc/edit?usp=share_link"",""ภูเก็ต!J828"")+IMPORTRANGE(""https://docs.google.c"&amp;"om/spreadsheets/d/1ctPm1vUzcUCPuOj9-eoHUD85PqINFqUB0TjdSWmR5-c/edit?usp=share_link"",""ยะลา!J828"")+IMPORTRANGE(""https://docs.google.com/spreadsheets/d/1YiDIE7Klmt8osgdapRqYWNr7iPGFSsiJqq46S7PYRE0/edit?usp=share_link"",""ระนอง!J828"")+IMPORTRANGE(""https"&amp;"://docs.google.com/spreadsheets/d/16o_4B-V7AWw_6E93bSpXj_XxVv1oVQctk-B6z1dNEWU/edit?usp=share_link"",""สงขลา!J828"")+IMPORTRANGE(""https://docs.google.com/spreadsheets/d/16cywr71Fj4fA5OGRHsZh30ZG2gwJhMAQv69oVBzYHv0/edit?usp=share_link"",""สตูล!J828"")+IMP"&amp;"ORTRANGE(""https://docs.google.com/spreadsheets/d/1vO9Sws6kMtrVtyvrAJptINXjK8TFBoX9xLYOVK_C8bQ/edit?usp=share_link"",""สุราษฎร์ธานี!J828"")"),387)</f>
        <v>387</v>
      </c>
      <c r="K828" s="506">
        <f t="shared" ca="1" si="379"/>
        <v>70.491803278688522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39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356E2-E424-4529-9D9F-1B28E66F7CB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346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2198108</v>
      </c>
      <c r="M8" s="22">
        <f t="shared" ca="1" si="0"/>
        <v>2380443.4500000002</v>
      </c>
      <c r="N8" s="22">
        <f t="shared" ca="1" si="0"/>
        <v>1767536.52</v>
      </c>
      <c r="O8" s="22">
        <f t="shared" ref="O8:O16" ca="1" si="1">IF(L8&gt;0,N8*100/L8,0)</f>
        <v>80.411723172837725</v>
      </c>
      <c r="P8" s="22">
        <f t="shared" ref="P8:P16" ca="1" si="2">IF(M8&gt;0,N8*100/M8,0)</f>
        <v>74.252405365899364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2198108</v>
      </c>
      <c r="M10" s="30">
        <f t="shared" ca="1" si="3"/>
        <v>2380443.4500000002</v>
      </c>
      <c r="N10" s="30">
        <f t="shared" ca="1" si="3"/>
        <v>1767536.52</v>
      </c>
      <c r="O10" s="30">
        <f t="shared" ca="1" si="1"/>
        <v>80.411723172837725</v>
      </c>
      <c r="P10" s="30">
        <f t="shared" ca="1" si="2"/>
        <v>74.252405365899364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2084308</v>
      </c>
      <c r="M11" s="498">
        <f t="shared" ca="1" si="4"/>
        <v>2266843.4500000002</v>
      </c>
      <c r="N11" s="498">
        <f t="shared" ca="1" si="4"/>
        <v>1653936.52</v>
      </c>
      <c r="O11" s="498">
        <f t="shared" ca="1" si="1"/>
        <v>79.351829000320492</v>
      </c>
      <c r="P11" s="498">
        <f t="shared" ca="1" si="2"/>
        <v>72.962097139967909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2084308</v>
      </c>
      <c r="M13" s="93">
        <f t="shared" ca="1" si="5"/>
        <v>2266843.4500000002</v>
      </c>
      <c r="N13" s="93">
        <f t="shared" ca="1" si="5"/>
        <v>1653936.52</v>
      </c>
      <c r="O13" s="93">
        <f t="shared" ca="1" si="1"/>
        <v>79.351829000320492</v>
      </c>
      <c r="P13" s="93">
        <f t="shared" ca="1" si="2"/>
        <v>72.962097139967909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113800</v>
      </c>
      <c r="M14" s="498">
        <f t="shared" ca="1" si="6"/>
        <v>113600</v>
      </c>
      <c r="N14" s="498">
        <f t="shared" ca="1" si="6"/>
        <v>113600</v>
      </c>
      <c r="O14" s="498">
        <f t="shared" ca="1" si="1"/>
        <v>99.824253075571178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113600</v>
      </c>
      <c r="N16" s="52">
        <f t="shared" ca="1" si="7"/>
        <v>113600</v>
      </c>
      <c r="O16" s="52">
        <f t="shared" ca="1" si="1"/>
        <v>99.824253075571178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1847225</v>
      </c>
      <c r="M18" s="22">
        <f t="shared" ca="1" si="8"/>
        <v>2029560.45</v>
      </c>
      <c r="N18" s="22">
        <f t="shared" ca="1" si="8"/>
        <v>1456868.02</v>
      </c>
      <c r="O18" s="22">
        <f t="shared" ref="O18:O26" ca="1" si="9">IF(L18&gt;0,N18*100/L18,0)</f>
        <v>78.867924589587076</v>
      </c>
      <c r="P18" s="22">
        <f t="shared" ref="P18:P26" ca="1" si="10">IF(M18&gt;0,N18*100/M18,0)</f>
        <v>71.782440380132556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1847225</v>
      </c>
      <c r="M20" s="30">
        <f t="shared" ca="1" si="11"/>
        <v>2029560.45</v>
      </c>
      <c r="N20" s="30">
        <f t="shared" ca="1" si="11"/>
        <v>1456868.02</v>
      </c>
      <c r="O20" s="30">
        <f t="shared" ca="1" si="9"/>
        <v>78.867924589587076</v>
      </c>
      <c r="P20" s="30">
        <f t="shared" ca="1" si="10"/>
        <v>71.782440380132556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1733425</v>
      </c>
      <c r="M21" s="498">
        <f t="shared" ca="1" si="12"/>
        <v>1915960.45</v>
      </c>
      <c r="N21" s="498">
        <f t="shared" ca="1" si="12"/>
        <v>1343268.02</v>
      </c>
      <c r="O21" s="498">
        <f t="shared" ca="1" si="9"/>
        <v>77.492133781386556</v>
      </c>
      <c r="P21" s="498">
        <f t="shared" ca="1" si="10"/>
        <v>70.109381433212775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1733425</v>
      </c>
      <c r="M23" s="93">
        <f t="shared" ca="1" si="13"/>
        <v>1915960.45</v>
      </c>
      <c r="N23" s="93">
        <f t="shared" ca="1" si="13"/>
        <v>1343268.02</v>
      </c>
      <c r="O23" s="93">
        <f t="shared" ca="1" si="9"/>
        <v>77.492133781386556</v>
      </c>
      <c r="P23" s="93">
        <f t="shared" ca="1" si="10"/>
        <v>70.109381433212775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113800</v>
      </c>
      <c r="M24" s="498">
        <f t="shared" ca="1" si="14"/>
        <v>113600</v>
      </c>
      <c r="N24" s="498">
        <f t="shared" ca="1" si="14"/>
        <v>113600</v>
      </c>
      <c r="O24" s="498">
        <f t="shared" ca="1" si="9"/>
        <v>99.824253075571178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113600</v>
      </c>
      <c r="N26" s="52">
        <f t="shared" ca="1" si="15"/>
        <v>113600</v>
      </c>
      <c r="O26" s="52">
        <f t="shared" ca="1" si="9"/>
        <v>99.824253075571178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350883</v>
      </c>
      <c r="M28" s="22">
        <f t="shared" ca="1" si="16"/>
        <v>350883</v>
      </c>
      <c r="N28" s="22">
        <f t="shared" si="16"/>
        <v>310668.5</v>
      </c>
      <c r="O28" s="22">
        <f t="shared" ref="O28:O37" ca="1" si="17">IF(L28&gt;0,N28*100/L28,0)</f>
        <v>88.539057178603699</v>
      </c>
      <c r="P28" s="22">
        <f t="shared" ref="P28:P37" ca="1" si="18">IF(M28&gt;0,N28*100/M28,0)</f>
        <v>88.539057178603699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350883</v>
      </c>
      <c r="M30" s="30">
        <f t="shared" ca="1" si="19"/>
        <v>350883</v>
      </c>
      <c r="N30" s="30">
        <f t="shared" si="19"/>
        <v>310668.5</v>
      </c>
      <c r="O30" s="30">
        <f t="shared" ca="1" si="17"/>
        <v>88.539057178603699</v>
      </c>
      <c r="P30" s="30">
        <f t="shared" ca="1" si="18"/>
        <v>88.539057178603699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350883</v>
      </c>
      <c r="M31" s="498">
        <f t="shared" ca="1" si="20"/>
        <v>350883</v>
      </c>
      <c r="N31" s="498">
        <f t="shared" si="20"/>
        <v>310668.5</v>
      </c>
      <c r="O31" s="498">
        <f t="shared" ca="1" si="17"/>
        <v>88.539057178603699</v>
      </c>
      <c r="P31" s="498">
        <f t="shared" ca="1" si="18"/>
        <v>88.539057178603699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350883</v>
      </c>
      <c r="M33" s="93">
        <f t="shared" ca="1" si="21"/>
        <v>350883</v>
      </c>
      <c r="N33" s="93">
        <f t="shared" si="21"/>
        <v>310668.5</v>
      </c>
      <c r="O33" s="93">
        <f t="shared" ca="1" si="17"/>
        <v>88.539057178603699</v>
      </c>
      <c r="P33" s="93">
        <f t="shared" ca="1" si="18"/>
        <v>88.539057178603699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1847225</v>
      </c>
      <c r="M37" s="858">
        <f t="shared" ca="1" si="24"/>
        <v>2029560.45</v>
      </c>
      <c r="N37" s="858">
        <f t="shared" ca="1" si="24"/>
        <v>1456868.02</v>
      </c>
      <c r="O37" s="858">
        <f t="shared" ca="1" si="17"/>
        <v>78.867924589587076</v>
      </c>
      <c r="P37" s="858">
        <f t="shared" ca="1" si="18"/>
        <v>71.782440380132556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190700</v>
      </c>
      <c r="M41" s="85">
        <f t="shared" ca="1" si="25"/>
        <v>99945.45</v>
      </c>
      <c r="N41" s="85">
        <f t="shared" ca="1" si="25"/>
        <v>81794.45</v>
      </c>
      <c r="O41" s="85">
        <f t="shared" ref="O41:O49" ca="1" si="26">IF(L41&gt;0,N41*100/L41,0)</f>
        <v>42.891688515993707</v>
      </c>
      <c r="P41" s="85">
        <f t="shared" ref="P41:P49" ca="1" si="27">IF(M41&gt;0,N41*100/M41,0)</f>
        <v>81.839093225354432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190700</v>
      </c>
      <c r="M43" s="92">
        <f t="shared" ca="1" si="28"/>
        <v>99945.45</v>
      </c>
      <c r="N43" s="92">
        <f t="shared" ca="1" si="28"/>
        <v>81794.45</v>
      </c>
      <c r="O43" s="92">
        <f t="shared" ca="1" si="26"/>
        <v>42.891688515993707</v>
      </c>
      <c r="P43" s="92">
        <f t="shared" ca="1" si="27"/>
        <v>81.839093225354432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190700</v>
      </c>
      <c r="M44" s="498">
        <f t="shared" ca="1" si="29"/>
        <v>99945.45</v>
      </c>
      <c r="N44" s="498">
        <f t="shared" ca="1" si="29"/>
        <v>81794.45</v>
      </c>
      <c r="O44" s="498">
        <f t="shared" ca="1" si="26"/>
        <v>42.891688515993707</v>
      </c>
      <c r="P44" s="498">
        <f t="shared" ca="1" si="27"/>
        <v>81.839093225354432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IFERROR(__xludf.DUMMYFUNCTION("IMPORTRANGE(""https://docs.google.com/spreadsheets/d/1MeEWN-I1oV_STSDYn1IFDPWt_1FKiwhDph83XaGc0o0/edit?usp=sharing"",""งบพรบ!M83"")"),190700)</f>
        <v>190700</v>
      </c>
      <c r="M46" s="93">
        <f ca="1">IFERROR(__xludf.DUMMYFUNCTION("IMPORTRANGE(""https://docs.google.com/spreadsheets/d/1MeEWN-I1oV_STSDYn1IFDPWt_1FKiwhDph83XaGc0o0/edit?usp=sharing"",""งบพรบ!R83"")"),99945.45)</f>
        <v>99945.45</v>
      </c>
      <c r="N46" s="93">
        <f ca="1">IFERROR(__xludf.DUMMYFUNCTION("IMPORTRANGE(""https://docs.google.com/spreadsheets/d/1MeEWN-I1oV_STSDYn1IFDPWt_1FKiwhDph83XaGc0o0/edit?usp=sharing"",""งบพรบ!T83"")"),81794.45)</f>
        <v>81794.45</v>
      </c>
      <c r="O46" s="93">
        <f t="shared" ca="1" si="26"/>
        <v>42.891688515993707</v>
      </c>
      <c r="P46" s="93">
        <f t="shared" ca="1" si="27"/>
        <v>81.839093225354432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IFERROR(__xludf.DUMMYFUNCTION("IMPORTRANGE(""https://docs.google.com/spreadsheets/d/1MeEWN-I1oV_STSDYn1IFDPWt_1FKiwhDph83XaGc0o0/edit?usp=sharing"",""งบพรบ!P83"")"),0)</f>
        <v>0</v>
      </c>
      <c r="M49" s="52">
        <f ca="1">IFERROR(__xludf.DUMMYFUNCTION("IMPORTRANGE(""https://docs.google.com/spreadsheets/d/1MeEWN-I1oV_STSDYn1IFDPWt_1FKiwhDph83XaGc0o0/edit?usp=sharing"",""งบพรบ!S83"")"),0)</f>
        <v>0</v>
      </c>
      <c r="N49" s="52">
        <f ca="1">IFERROR(__xludf.DUMMYFUNCTION("IMPORTRANGE(""https://docs.google.com/spreadsheets/d/1MeEWN-I1oV_STSDYn1IFDPWt_1FKiwhDph83XaGc0o0/edit?usp=sharing"",""งบพรบ!U83"")"),0)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606700</v>
      </c>
      <c r="M53" s="116">
        <f t="shared" ca="1" si="31"/>
        <v>627200</v>
      </c>
      <c r="N53" s="116">
        <f t="shared" ca="1" si="31"/>
        <v>477925.49</v>
      </c>
      <c r="O53" s="116">
        <f t="shared" ref="O53:O61" ca="1" si="32">IF(L53&gt;0,N53*100/L53,0)</f>
        <v>78.774598648425908</v>
      </c>
      <c r="P53" s="116">
        <f t="shared" ref="P53:P61" ca="1" si="33">IF(M53&gt;0,N53*100/M53,0)</f>
        <v>76.199854910714279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606700</v>
      </c>
      <c r="M55" s="123">
        <f t="shared" ca="1" si="34"/>
        <v>627200</v>
      </c>
      <c r="N55" s="123">
        <f t="shared" ca="1" si="34"/>
        <v>477925.49</v>
      </c>
      <c r="O55" s="123">
        <f t="shared" ca="1" si="32"/>
        <v>78.774598648425908</v>
      </c>
      <c r="P55" s="123">
        <f t="shared" ca="1" si="33"/>
        <v>76.199854910714279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606700</v>
      </c>
      <c r="M56" s="498">
        <f t="shared" ca="1" si="35"/>
        <v>627200</v>
      </c>
      <c r="N56" s="498">
        <f t="shared" ca="1" si="35"/>
        <v>477925.49</v>
      </c>
      <c r="O56" s="498">
        <f t="shared" ca="1" si="32"/>
        <v>78.774598648425908</v>
      </c>
      <c r="P56" s="498">
        <f t="shared" ca="1" si="33"/>
        <v>76.199854910714279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IFERROR(__xludf.DUMMYFUNCTION("IMPORTRANGE(""https://docs.google.com/spreadsheets/d/1MeEWN-I1oV_STSDYn1IFDPWt_1FKiwhDph83XaGc0o0/edit?usp=sharing"",""งบพรบ!W83"")"),606700)</f>
        <v>606700</v>
      </c>
      <c r="M58" s="93">
        <f ca="1">IFERROR(__xludf.DUMMYFUNCTION("IMPORTRANGE(""https://docs.google.com/spreadsheets/d/1MeEWN-I1oV_STSDYn1IFDPWt_1FKiwhDph83XaGc0o0/edit?usp=sharing"",""งบพรบ!AB83"")"),627200)</f>
        <v>627200</v>
      </c>
      <c r="N58" s="93">
        <f ca="1">IFERROR(__xludf.DUMMYFUNCTION("IMPORTRANGE(""https://docs.google.com/spreadsheets/d/1MeEWN-I1oV_STSDYn1IFDPWt_1FKiwhDph83XaGc0o0/edit?usp=sharing"",""งบพรบ!AD83"")"),477925.49)</f>
        <v>477925.49</v>
      </c>
      <c r="O58" s="93">
        <f t="shared" ca="1" si="32"/>
        <v>78.774598648425908</v>
      </c>
      <c r="P58" s="93">
        <f t="shared" ca="1" si="33"/>
        <v>76.199854910714279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IFERROR(__xludf.DUMMYFUNCTION("IMPORTRANGE(""https://docs.google.com/spreadsheets/d/1MeEWN-I1oV_STSDYn1IFDPWt_1FKiwhDph83XaGc0o0/edit?usp=sharing"",""งบพรบ!Z83"")"),0)</f>
        <v>0</v>
      </c>
      <c r="M61" s="52">
        <f ca="1">IFERROR(__xludf.DUMMYFUNCTION("IMPORTRANGE(""https://docs.google.com/spreadsheets/d/1MeEWN-I1oV_STSDYn1IFDPWt_1FKiwhDph83XaGc0o0/edit?usp=sharing"",""งบพรบ!AC83"")"),0)</f>
        <v>0</v>
      </c>
      <c r="N61" s="52">
        <f ca="1">IFERROR(__xludf.DUMMYFUNCTION("IMPORTRANGE(""https://docs.google.com/spreadsheets/d/1MeEWN-I1oV_STSDYn1IFDPWt_1FKiwhDph83XaGc0o0/edit?usp=sharing"",""งบพรบ!AE83"")"),0)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IFERROR(__xludf.DUMMYFUNCTION("IMPORTRANGE(""https://docs.google.com/spreadsheets/d/1MeEWN-I1oV_STSDYn1IFDPWt_1FKiwhDph83XaGc0o0/edit?usp=sharing"",""งบพรบ!AG83"")"),0)</f>
        <v>0</v>
      </c>
      <c r="M71" s="93">
        <f ca="1">IFERROR(__xludf.DUMMYFUNCTION("IMPORTRANGE(""https://docs.google.com/spreadsheets/d/1MeEWN-I1oV_STSDYn1IFDPWt_1FKiwhDph83XaGc0o0/edit?usp=sharing"",""งบพรบ!AL83"")"),0)</f>
        <v>0</v>
      </c>
      <c r="N71" s="93">
        <f ca="1">IFERROR(__xludf.DUMMYFUNCTION("IMPORTRANGE(""https://docs.google.com/spreadsheets/d/1MeEWN-I1oV_STSDYn1IFDPWt_1FKiwhDph83XaGc0o0/edit?usp=sharing"",""งบพรบ!AN83"")"),0)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IFERROR(__xludf.DUMMYFUNCTION("IMPORTRANGE(""https://docs.google.com/spreadsheets/d/1MeEWN-I1oV_STSDYn1IFDPWt_1FKiwhDph83XaGc0o0/edit?usp=sharing"",""งบพรบ!AJ83"")"),0)</f>
        <v>0</v>
      </c>
      <c r="M74" s="93">
        <f ca="1">IFERROR(__xludf.DUMMYFUNCTION("IMPORTRANGE(""https://docs.google.com/spreadsheets/d/1MeEWN-I1oV_STSDYn1IFDPWt_1FKiwhDph83XaGc0o0/edit?usp=sharing"",""งบพรบ!AM83"")"),0)</f>
        <v>0</v>
      </c>
      <c r="N74" s="93">
        <f ca="1">IFERROR(__xludf.DUMMYFUNCTION("IMPORTRANGE(""https://docs.google.com/spreadsheets/d/1MeEWN-I1oV_STSDYn1IFDPWt_1FKiwhDph83XaGc0o0/edit?usp=sharing"",""งบพรบ!AO83"")"),0)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319000</v>
      </c>
      <c r="M88" s="155">
        <f t="shared" ca="1" si="49"/>
        <v>319000</v>
      </c>
      <c r="N88" s="155">
        <f t="shared" ca="1" si="49"/>
        <v>256707.16</v>
      </c>
      <c r="O88" s="155">
        <f t="shared" ref="O88:O96" ca="1" si="50">IF(L88&gt;0,N88*100/L88,0)</f>
        <v>80.472463949843259</v>
      </c>
      <c r="P88" s="155">
        <f t="shared" ref="P88:P96" ca="1" si="51">IF(M88&gt;0,N88*100/M88,0)</f>
        <v>80.472463949843259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319000</v>
      </c>
      <c r="M90" s="93">
        <f t="shared" ca="1" si="52"/>
        <v>319000</v>
      </c>
      <c r="N90" s="93">
        <f t="shared" ca="1" si="52"/>
        <v>256707.16</v>
      </c>
      <c r="O90" s="93">
        <f t="shared" ca="1" si="50"/>
        <v>80.472463949843259</v>
      </c>
      <c r="P90" s="93">
        <f t="shared" ca="1" si="51"/>
        <v>80.472463949843259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319000</v>
      </c>
      <c r="M91" s="498">
        <f t="shared" ca="1" si="53"/>
        <v>319000</v>
      </c>
      <c r="N91" s="498">
        <f t="shared" ca="1" si="53"/>
        <v>256707.16</v>
      </c>
      <c r="O91" s="498">
        <f t="shared" ca="1" si="50"/>
        <v>80.472463949843259</v>
      </c>
      <c r="P91" s="498">
        <f t="shared" ca="1" si="51"/>
        <v>80.472463949843259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IFERROR(__xludf.DUMMYFUNCTION("IMPORTRANGE(""https://docs.google.com/spreadsheets/d/1MeEWN-I1oV_STSDYn1IFDPWt_1FKiwhDph83XaGc0o0/edit?usp=sharing"",""งบพรบ!AQ83"")"),319000)</f>
        <v>319000</v>
      </c>
      <c r="M93" s="93">
        <f ca="1">IFERROR(__xludf.DUMMYFUNCTION("IMPORTRANGE(""https://docs.google.com/spreadsheets/d/1MeEWN-I1oV_STSDYn1IFDPWt_1FKiwhDph83XaGc0o0/edit?usp=sharing"",""งบพรบ!AV83"")"),319000)</f>
        <v>319000</v>
      </c>
      <c r="N93" s="93">
        <f ca="1">IFERROR(__xludf.DUMMYFUNCTION("IMPORTRANGE(""https://docs.google.com/spreadsheets/d/1MeEWN-I1oV_STSDYn1IFDPWt_1FKiwhDph83XaGc0o0/edit?usp=sharing"",""งบพรบ!AX83"")"),256707.16)</f>
        <v>256707.16</v>
      </c>
      <c r="O93" s="93">
        <f t="shared" ca="1" si="50"/>
        <v>80.472463949843259</v>
      </c>
      <c r="P93" s="93">
        <f t="shared" ca="1" si="51"/>
        <v>80.472463949843259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IFERROR(__xludf.DUMMYFUNCTION("IMPORTRANGE(""https://docs.google.com/spreadsheets/d/1MeEWN-I1oV_STSDYn1IFDPWt_1FKiwhDph83XaGc0o0/edit?usp=sharing"",""งบพรบ!AT83"")"),0)</f>
        <v>0</v>
      </c>
      <c r="M96" s="93">
        <f ca="1">IFERROR(__xludf.DUMMYFUNCTION("IMPORTRANGE(""https://docs.google.com/spreadsheets/d/1MeEWN-I1oV_STSDYn1IFDPWt_1FKiwhDph83XaGc0o0/edit?usp=sharing"",""งบพรบ!AW83"")"),0)</f>
        <v>0</v>
      </c>
      <c r="N96" s="93">
        <f ca="1">IFERROR(__xludf.DUMMYFUNCTION("IMPORTRANGE(""https://docs.google.com/spreadsheets/d/1MeEWN-I1oV_STSDYn1IFDPWt_1FKiwhDph83XaGc0o0/edit?usp=sharing"",""งบพรบ!AY83"")"),0)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IFERROR(__xludf.DUMMYFUNCTION("IMPORTRANGE(""https://docs.google.com/spreadsheets/d/1QqKyyYR6Q21VydFLVH3TRQUabQu_ym0Zz7PgGX0-kHA/edit?usp=sharing"",""แผน!K83"")"),0)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IFERROR(__xludf.DUMMYFUNCTION("IMPORTRANGE(""https://docs.google.com/spreadsheets/d/1QqKyyYR6Q21VydFLVH3TRQUabQu_ym0Zz7PgGX0-kHA/edit?usp=sharing"",""แผน!L83"")"),0)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IFERROR(__xludf.DUMMYFUNCTION("IMPORTRANGE(""https://docs.google.com/spreadsheets/d/1QqKyyYR6Q21VydFLVH3TRQUabQu_ym0Zz7PgGX0-kHA/edit?usp=sharing"",""แผน!M83"")"),1)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IFERROR(__xludf.DUMMYFUNCTION("IMPORTRANGE(""https://docs.google.com/spreadsheets/d/1QqKyyYR6Q21VydFLVH3TRQUabQu_ym0Zz7PgGX0-kHA/edit?usp=sharing"",""แผน!N83"")"),0)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IFERROR(__xludf.DUMMYFUNCTION("IMPORTRANGE(""https://docs.google.com/spreadsheets/d/1QqKyyYR6Q21VydFLVH3TRQUabQu_ym0Zz7PgGX0-kHA/edit?usp=sharing"",""แผน!O83"")"),0)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IFERROR(__xludf.DUMMYFUNCTION("IMPORTRANGE(""https://docs.google.com/spreadsheets/d/1QqKyyYR6Q21VydFLVH3TRQUabQu_ym0Zz7PgGX0-kHA/edit?usp=sharing"",""แผน!O83"")"),0)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IFERROR(__xludf.DUMMYFUNCTION("IMPORTRANGE(""https://docs.google.com/spreadsheets/d/1QqKyyYR6Q21VydFLVH3TRQUabQu_ym0Zz7PgGX0-kHA/edit?usp=sharing"",""แผน!P83"")"),0)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IFERROR(__xludf.DUMMYFUNCTION("IMPORTRANGE(""https://docs.google.com/spreadsheets/d/1QqKyyYR6Q21VydFLVH3TRQUabQu_ym0Zz7PgGX0-kHA/edit?usp=sharing"",""แผน!P83"")"),0)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IFERROR(__xludf.DUMMYFUNCTION("IMPORTRANGE(""https://docs.google.com/spreadsheets/d/1QqKyyYR6Q21VydFLVH3TRQUabQu_ym0Zz7PgGX0-kHA/edit?usp=sharing"",""แผน!Q83"")"),1)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IFERROR(__xludf.DUMMYFUNCTION("IMPORTRANGE(""https://docs.google.com/spreadsheets/d/1QqKyyYR6Q21VydFLVH3TRQUabQu_ym0Zz7PgGX0-kHA/edit?usp=sharing"",""แผน!Q83"")"),1)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IFERROR(__xludf.DUMMYFUNCTION("IMPORTRANGE(""https://docs.google.com/spreadsheets/d/1QqKyyYR6Q21VydFLVH3TRQUabQu_ym0Zz7PgGX0-kHA/edit?usp=sharing"",""แผน!R83"")"),0)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IFERROR(__xludf.DUMMYFUNCTION("IMPORTRANGE(""https://docs.google.com/spreadsheets/d/1QqKyyYR6Q21VydFLVH3TRQUabQu_ym0Zz7PgGX0-kHA/edit?usp=sharing"",""แผน!R83"")"),0)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IFERROR(__xludf.DUMMYFUNCTION("IMPORTRANGE(""https://docs.google.com/spreadsheets/d/1QqKyyYR6Q21VydFLVH3TRQUabQu_ym0Zz7PgGX0-kHA/edit?usp=sharing"",""แผน!R83"")"),0)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IFERROR(__xludf.DUMMYFUNCTION("IMPORTRANGE(""https://docs.google.com/spreadsheets/d/1QqKyyYR6Q21VydFLVH3TRQUabQu_ym0Zz7PgGX0-kHA/edit?usp=sharing"",""แผน!S83"")"),0)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IFERROR(__xludf.DUMMYFUNCTION("IMPORTRANGE(""https://docs.google.com/spreadsheets/d/1QqKyyYR6Q21VydFLVH3TRQUabQu_ym0Zz7PgGX0-kHA/edit?usp=sharing"",""แผน!T83"")"),1)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IFERROR(__xludf.DUMMYFUNCTION("IMPORTRANGE(""https://docs.google.com/spreadsheets/d/1MeEWN-I1oV_STSDYn1IFDPWt_1FKiwhDph83XaGc0o0/edit?usp=sharing"",""งบพรบ!BA83"")"),0)</f>
        <v>0</v>
      </c>
      <c r="M124" s="93">
        <f ca="1">IFERROR(__xludf.DUMMYFUNCTION("IMPORTRANGE(""https://docs.google.com/spreadsheets/d/1MeEWN-I1oV_STSDYn1IFDPWt_1FKiwhDph83XaGc0o0/edit?usp=sharing"",""งบพรบ!BF83"")"),0)</f>
        <v>0</v>
      </c>
      <c r="N124" s="93">
        <f ca="1">IFERROR(__xludf.DUMMYFUNCTION("IMPORTRANGE(""https://docs.google.com/spreadsheets/d/1MeEWN-I1oV_STSDYn1IFDPWt_1FKiwhDph83XaGc0o0/edit?usp=sharing"",""งบพรบ!BH83"")"),0)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IFERROR(__xludf.DUMMYFUNCTION("IMPORTRANGE(""https://docs.google.com/spreadsheets/d/1MeEWN-I1oV_STSDYn1IFDPWt_1FKiwhDph83XaGc0o0/edit?usp=sharing"",""งบพรบ!BD83"")"),0)</f>
        <v>0</v>
      </c>
      <c r="M127" s="93">
        <f ca="1">IFERROR(__xludf.DUMMYFUNCTION("IMPORTRANGE(""https://docs.google.com/spreadsheets/d/1MeEWN-I1oV_STSDYn1IFDPWt_1FKiwhDph83XaGc0o0/edit?usp=sharing"",""งบพรบ!BG83"")"),0)</f>
        <v>0</v>
      </c>
      <c r="N127" s="93">
        <f ca="1">IFERROR(__xludf.DUMMYFUNCTION("IMPORTRANGE(""https://docs.google.com/spreadsheets/d/1MeEWN-I1oV_STSDYn1IFDPWt_1FKiwhDph83XaGc0o0/edit?usp=sharing"",""งบพรบ!BI83"")"),0)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IFERROR(__xludf.DUMMYFUNCTION("IMPORTRANGE(""https://docs.google.com/spreadsheets/d/1MeEWN-I1oV_STSDYn1IFDPWt_1FKiwhDph83XaGc0o0/edit?usp=sharing"",""งบพรบ!BK83"")"),0)</f>
        <v>0</v>
      </c>
      <c r="M137" s="93">
        <f ca="1">IFERROR(__xludf.DUMMYFUNCTION("IMPORTRANGE(""https://docs.google.com/spreadsheets/d/1MeEWN-I1oV_STSDYn1IFDPWt_1FKiwhDph83XaGc0o0/edit?usp=sharing"",""งบพรบ!BP83"")"),0)</f>
        <v>0</v>
      </c>
      <c r="N137" s="93">
        <f ca="1">IFERROR(__xludf.DUMMYFUNCTION("IMPORTRANGE(""https://docs.google.com/spreadsheets/d/1MeEWN-I1oV_STSDYn1IFDPWt_1FKiwhDph83XaGc0o0/edit?usp=sharing"",""งบพรบ!BR83"")"),0)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IFERROR(__xludf.DUMMYFUNCTION("IMPORTRANGE(""https://docs.google.com/spreadsheets/d/1MeEWN-I1oV_STSDYn1IFDPWt_1FKiwhDph83XaGc0o0/edit?usp=sharing"",""งบพรบ!BN83"")"),0)</f>
        <v>0</v>
      </c>
      <c r="M140" s="93">
        <f ca="1">IFERROR(__xludf.DUMMYFUNCTION("IMPORTRANGE(""https://docs.google.com/spreadsheets/d/1MeEWN-I1oV_STSDYn1IFDPWt_1FKiwhDph83XaGc0o0/edit?usp=sharing"",""งบพรบ!BQ83"")"),0)</f>
        <v>0</v>
      </c>
      <c r="N140" s="93">
        <f ca="1">IFERROR(__xludf.DUMMYFUNCTION("IMPORTRANGE(""https://docs.google.com/spreadsheets/d/1MeEWN-I1oV_STSDYn1IFDPWt_1FKiwhDph83XaGc0o0/edit?usp=sharing"",""งบพรบ!BS83"")"),0)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IFERROR(__xludf.DUMMYFUNCTION("IMPORTRANGE(""https://docs.google.com/spreadsheets/d/1QqKyyYR6Q21VydFLVH3TRQUabQu_ym0Zz7PgGX0-kHA/edit?usp=sharing"",""แผน!U83"")"),0)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IFERROR(__xludf.DUMMYFUNCTION("IMPORTRANGE(""https://docs.google.com/spreadsheets/d/1QqKyyYR6Q21VydFLVH3TRQUabQu_ym0Zz7PgGX0-kHA/edit?usp=sharing"",""แผน!V83"")"),0)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IFERROR(__xludf.DUMMYFUNCTION("IMPORTRANGE(""https://docs.google.com/spreadsheets/d/1QqKyyYR6Q21VydFLVH3TRQUabQu_ym0Zz7PgGX0-kHA/edit?usp=sharing"",""แผน!W83"")"),0)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IFERROR(__xludf.DUMMYFUNCTION("IMPORTRANGE(""https://docs.google.com/spreadsheets/d/1MeEWN-I1oV_STSDYn1IFDPWt_1FKiwhDph83XaGc0o0/edit?usp=sharing"",""งบพรบ!BU83"")"),0)</f>
        <v>0</v>
      </c>
      <c r="M154" s="93">
        <f ca="1">IFERROR(__xludf.DUMMYFUNCTION("IMPORTRANGE(""https://docs.google.com/spreadsheets/d/1MeEWN-I1oV_STSDYn1IFDPWt_1FKiwhDph83XaGc0o0/edit?usp=sharing"",""งบพรบ!BZ83"")"),0)</f>
        <v>0</v>
      </c>
      <c r="N154" s="93">
        <f ca="1">IFERROR(__xludf.DUMMYFUNCTION("IMPORTRANGE(""https://docs.google.com/spreadsheets/d/1MeEWN-I1oV_STSDYn1IFDPWt_1FKiwhDph83XaGc0o0/edit?usp=sharing"",""งบพรบ!CB83"")"),0)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IFERROR(__xludf.DUMMYFUNCTION("IMPORTRANGE(""https://docs.google.com/spreadsheets/d/1MeEWN-I1oV_STSDYn1IFDPWt_1FKiwhDph83XaGc0o0/edit?usp=sharing"",""งบพรบ!BX83"")"),0)</f>
        <v>0</v>
      </c>
      <c r="M157" s="93">
        <f ca="1">IFERROR(__xludf.DUMMYFUNCTION("IMPORTRANGE(""https://docs.google.com/spreadsheets/d/1MeEWN-I1oV_STSDYn1IFDPWt_1FKiwhDph83XaGc0o0/edit?usp=sharing"",""งบพรบ!CA83"")"),0)</f>
        <v>0</v>
      </c>
      <c r="N157" s="93">
        <f ca="1">IFERROR(__xludf.DUMMYFUNCTION("IMPORTRANGE(""https://docs.google.com/spreadsheets/d/1MeEWN-I1oV_STSDYn1IFDPWt_1FKiwhDph83XaGc0o0/edit?usp=sharing"",""งบพรบ!CC83"")"),0)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IFERROR(__xludf.DUMMYFUNCTION("IMPORTRANGE(""https://docs.google.com/spreadsheets/d/1QqKyyYR6Q21VydFLVH3TRQUabQu_ym0Zz7PgGX0-kHA/edit?usp=sharing"",""แผน!X83"")"),0)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41535</v>
      </c>
      <c r="N165" s="155">
        <f t="shared" ca="1" si="84"/>
        <v>41535</v>
      </c>
      <c r="O165" s="155">
        <f t="shared" ref="O165:O173" ca="1" si="85">IF(L165&gt;0,N165*100/L165,0)</f>
        <v>172.59505505921462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41535</v>
      </c>
      <c r="N167" s="93">
        <f t="shared" ca="1" si="87"/>
        <v>41535</v>
      </c>
      <c r="O167" s="93">
        <f t="shared" ca="1" si="85"/>
        <v>172.59505505921462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41535</v>
      </c>
      <c r="N168" s="498">
        <f t="shared" ca="1" si="88"/>
        <v>41535</v>
      </c>
      <c r="O168" s="498">
        <f t="shared" ca="1" si="85"/>
        <v>172.59505505921462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IFERROR(__xludf.DUMMYFUNCTION("IMPORTRANGE(""https://docs.google.com/spreadsheets/d/1MeEWN-I1oV_STSDYn1IFDPWt_1FKiwhDph83XaGc0o0/edit?usp=sharing"",""งบพรบ!CE83"")"),24065)</f>
        <v>24065</v>
      </c>
      <c r="M170" s="93">
        <f ca="1">IFERROR(__xludf.DUMMYFUNCTION("IMPORTRANGE(""https://docs.google.com/spreadsheets/d/1MeEWN-I1oV_STSDYn1IFDPWt_1FKiwhDph83XaGc0o0/edit?usp=sharing"",""งบพรบ!CJ83"")"),41535)</f>
        <v>41535</v>
      </c>
      <c r="N170" s="93">
        <f ca="1">IFERROR(__xludf.DUMMYFUNCTION("IMPORTRANGE(""https://docs.google.com/spreadsheets/d/1MeEWN-I1oV_STSDYn1IFDPWt_1FKiwhDph83XaGc0o0/edit?usp=sharing"",""งบพรบ!CL83"")"),41535)</f>
        <v>41535</v>
      </c>
      <c r="O170" s="93">
        <f t="shared" ca="1" si="85"/>
        <v>172.59505505921462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IFERROR(__xludf.DUMMYFUNCTION("IMPORTRANGE(""https://docs.google.com/spreadsheets/d/1MeEWN-I1oV_STSDYn1IFDPWt_1FKiwhDph83XaGc0o0/edit?usp=sharing"",""งบพรบ!CH83"")"),0)</f>
        <v>0</v>
      </c>
      <c r="M173" s="93">
        <f ca="1">IFERROR(__xludf.DUMMYFUNCTION("IMPORTRANGE(""https://docs.google.com/spreadsheets/d/1MeEWN-I1oV_STSDYn1IFDPWt_1FKiwhDph83XaGc0o0/edit?usp=sharing"",""งบพรบ!CK83"")"),0)</f>
        <v>0</v>
      </c>
      <c r="N173" s="93">
        <f ca="1">IFERROR(__xludf.DUMMYFUNCTION("IMPORTRANGE(""https://docs.google.com/spreadsheets/d/1MeEWN-I1oV_STSDYn1IFDPWt_1FKiwhDph83XaGc0o0/edit?usp=sharing"",""งบพรบ!CM83"")"),0)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IFERROR(__xludf.DUMMYFUNCTION("IMPORTRANGE(""https://docs.google.com/spreadsheets/d/1QqKyyYR6Q21VydFLVH3TRQUabQu_ym0Zz7PgGX0-kHA/edit?usp=sharing"",""แผน!Y83"")"),13)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6000</v>
      </c>
      <c r="M181" s="155">
        <f t="shared" ca="1" si="92"/>
        <v>6000</v>
      </c>
      <c r="N181" s="155">
        <f t="shared" ca="1" si="92"/>
        <v>3991</v>
      </c>
      <c r="O181" s="155">
        <f t="shared" ref="O181:O189" ca="1" si="93">IF(L181&gt;0,N181*100/L181,0)</f>
        <v>66.516666666666666</v>
      </c>
      <c r="P181" s="155">
        <f t="shared" ref="P181:P189" ca="1" si="94">IF(M181&gt;0,N181*100/M181,0)</f>
        <v>66.516666666666666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6000</v>
      </c>
      <c r="M183" s="93">
        <f t="shared" ca="1" si="95"/>
        <v>6000</v>
      </c>
      <c r="N183" s="93">
        <f t="shared" ca="1" si="95"/>
        <v>3991</v>
      </c>
      <c r="O183" s="93">
        <f t="shared" ca="1" si="93"/>
        <v>66.516666666666666</v>
      </c>
      <c r="P183" s="93">
        <f t="shared" ca="1" si="94"/>
        <v>66.516666666666666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6000</v>
      </c>
      <c r="M184" s="498">
        <f t="shared" ca="1" si="96"/>
        <v>6000</v>
      </c>
      <c r="N184" s="498">
        <f t="shared" ca="1" si="96"/>
        <v>3991</v>
      </c>
      <c r="O184" s="498">
        <f t="shared" ca="1" si="93"/>
        <v>66.516666666666666</v>
      </c>
      <c r="P184" s="498">
        <f t="shared" ca="1" si="94"/>
        <v>66.516666666666666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IFERROR(__xludf.DUMMYFUNCTION("IMPORTRANGE(""https://docs.google.com/spreadsheets/d/1MeEWN-I1oV_STSDYn1IFDPWt_1FKiwhDph83XaGc0o0/edit?usp=sharing"",""งบพรบ!CO83"")"),6000)</f>
        <v>6000</v>
      </c>
      <c r="M186" s="93">
        <f ca="1">IFERROR(__xludf.DUMMYFUNCTION("IMPORTRANGE(""https://docs.google.com/spreadsheets/d/1MeEWN-I1oV_STSDYn1IFDPWt_1FKiwhDph83XaGc0o0/edit?usp=sharing"",""งบพรบ!CT83"")"),6000)</f>
        <v>6000</v>
      </c>
      <c r="N186" s="93">
        <f ca="1">IFERROR(__xludf.DUMMYFUNCTION("IMPORTRANGE(""https://docs.google.com/spreadsheets/d/1MeEWN-I1oV_STSDYn1IFDPWt_1FKiwhDph83XaGc0o0/edit?usp=sharing"",""งบพรบ!CV83"")"),3991)</f>
        <v>3991</v>
      </c>
      <c r="O186" s="93">
        <f t="shared" ca="1" si="93"/>
        <v>66.516666666666666</v>
      </c>
      <c r="P186" s="93">
        <f t="shared" ca="1" si="94"/>
        <v>66.516666666666666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IFERROR(__xludf.DUMMYFUNCTION("IMPORTRANGE(""https://docs.google.com/spreadsheets/d/1MeEWN-I1oV_STSDYn1IFDPWt_1FKiwhDph83XaGc0o0/edit?usp=sharing"",""งบพรบ!CR83"")"),0)</f>
        <v>0</v>
      </c>
      <c r="M189" s="93">
        <f ca="1">IFERROR(__xludf.DUMMYFUNCTION("IMPORTRANGE(""https://docs.google.com/spreadsheets/d/1MeEWN-I1oV_STSDYn1IFDPWt_1FKiwhDph83XaGc0o0/edit?usp=sharing"",""งบพรบ!CU83"")"),0)</f>
        <v>0</v>
      </c>
      <c r="N189" s="93">
        <f ca="1">IFERROR(__xludf.DUMMYFUNCTION("IMPORTRANGE(""https://docs.google.com/spreadsheets/d/1MeEWN-I1oV_STSDYn1IFDPWt_1FKiwhDph83XaGc0o0/edit?usp=sharing"",""งบพรบ!CW83"")"),0)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IFERROR(__xludf.DUMMYFUNCTION("IMPORTRANGE(""https://docs.google.com/spreadsheets/d/1QqKyyYR6Q21VydFLVH3TRQUabQu_ym0Zz7PgGX0-kHA/edit?usp=sharing"",""แผน!Z83"")"),6000)</f>
        <v>6000</v>
      </c>
      <c r="M191" s="155"/>
      <c r="N191" s="276">
        <v>3991</v>
      </c>
      <c r="O191" s="155">
        <f ca="1">IF(L191&gt;0,N191*100/L191,0)</f>
        <v>66.516666666666666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IFERROR(__xludf.DUMMYFUNCTION("IMPORTRANGE(""https://docs.google.com/spreadsheets/d/1QqKyyYR6Q21VydFLVH3TRQUabQu_ym0Zz7PgGX0-kHA/edit?usp=sharing"",""แผน!AC83"")"),4)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129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129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IFERROR(__xludf.DUMMYFUNCTION("IMPORTRANGE(""https://docs.google.com/spreadsheets/d/1QqKyyYR6Q21VydFLVH3TRQUabQu_ym0Zz7PgGX0-kHA/edit?usp=sharing"",""แผน!AE83"")"),0)</f>
        <v>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IFERROR(__xludf.DUMMYFUNCTION("IMPORTRANGE(""https://docs.google.com/spreadsheets/d/1QqKyyYR6Q21VydFLVH3TRQUabQu_ym0Zz7PgGX0-kHA/edit?usp=sharing"",""แผน!AF83"")"),0)</f>
        <v>0</v>
      </c>
      <c r="M200" s="498"/>
      <c r="N200" s="826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IFERROR(__xludf.DUMMYFUNCTION("IMPORTRANGE(""https://docs.google.com/spreadsheets/d/1QqKyyYR6Q21VydFLVH3TRQUabQu_ym0Zz7PgGX0-kHA/edit?usp=sharing"",""แผน!AG83"")"),0)</f>
        <v>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IFERROR(__xludf.DUMMYFUNCTION("IMPORTRANGE(""https://docs.google.com/spreadsheets/d/1QqKyyYR6Q21VydFLVH3TRQUabQu_ym0Zz7PgGX0-kHA/edit?usp=sharing"",""แผน!AH83"")"),0)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IFERROR(__xludf.DUMMYFUNCTION("IMPORTRANGE(""https://docs.google.com/spreadsheets/d/1QqKyyYR6Q21VydFLVH3TRQUabQu_ym0Zz7PgGX0-kHA/edit?usp=sharing"",""แผน!AI83"")"),0)</f>
        <v>0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8" t="s">
        <v>347</v>
      </c>
      <c r="F206" s="178"/>
      <c r="G206" s="179"/>
      <c r="H206" s="761" t="s">
        <v>96</v>
      </c>
      <c r="I206" s="270"/>
      <c r="J206" s="215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8"/>
      <c r="E207" s="448" t="s">
        <v>348</v>
      </c>
      <c r="F207" s="178"/>
      <c r="G207" s="179"/>
      <c r="H207" s="763" t="s">
        <v>66</v>
      </c>
      <c r="I207" s="270"/>
      <c r="J207" s="215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IFERROR(__xludf.DUMMYFUNCTION("IMPORTRANGE(""https://docs.google.com/spreadsheets/d/1QqKyyYR6Q21VydFLVH3TRQUabQu_ym0Zz7PgGX0-kHA/edit?usp=sharing"",""แผน!AK83"")"),0)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IFERROR(__xludf.DUMMYFUNCTION("IMPORTRANGE(""https://docs.google.com/spreadsheets/d/1QqKyyYR6Q21VydFLVH3TRQUabQu_ym0Zz7PgGX0-kHA/edit?usp=sharing"",""แผน!AL83"")"),0)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IFERROR(__xludf.DUMMYFUNCTION("IMPORTRANGE(""https://docs.google.com/spreadsheets/d/1QqKyyYR6Q21VydFLVH3TRQUabQu_ym0Zz7PgGX0-kHA/edit?usp=sharing"",""แผน!AM83"")"),0)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IFERROR(__xludf.DUMMYFUNCTION("IMPORTRANGE(""https://docs.google.com/spreadsheets/d/1QqKyyYR6Q21VydFLVH3TRQUabQu_ym0Zz7PgGX0-kHA/edit?usp=sharing"",""แผน!AN83"")"),0)</f>
        <v>0</v>
      </c>
      <c r="J214" s="215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IFERROR(__xludf.DUMMYFUNCTION("IMPORTRANGE(""https://docs.google.com/spreadsheets/d/1QqKyyYR6Q21VydFLVH3TRQUabQu_ym0Zz7PgGX0-kHA/edit?usp=sharing"",""แผน!AN83"")"),0)</f>
        <v>0</v>
      </c>
      <c r="J215" s="215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 hidden="1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2">I224</f>
        <v>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 hidden="1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 hidden="1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IFERROR(__xludf.DUMMYFUNCTION("IMPORTRANGE(""https://docs.google.com/spreadsheets/d/1QqKyyYR6Q21VydFLVH3TRQUabQu_ym0Zz7PgGX0-kHA/edit?usp=sharing"",""แผน!AP83"")"),0)</f>
        <v>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 hidden="1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IFERROR(__xludf.DUMMYFUNCTION("IMPORTRANGE(""https://docs.google.com/spreadsheets/d/1QqKyyYR6Q21VydFLVH3TRQUabQu_ym0Zz7PgGX0-kHA/edit?usp=sharing"",""แผน!AQ83"")"),0)</f>
        <v>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 hidden="1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IFERROR(__xludf.DUMMYFUNCTION("IMPORTRANGE(""https://docs.google.com/spreadsheets/d/1QqKyyYR6Q21VydFLVH3TRQUabQu_ym0Zz7PgGX0-kHA/edit?usp=sharing"",""แผน!AR83"")"),0)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 hidden="1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 hidden="1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 hidden="1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IFERROR(__xludf.DUMMYFUNCTION("IMPORTRANGE(""https://docs.google.com/spreadsheets/d/1QqKyyYR6Q21VydFLVH3TRQUabQu_ym0Zz7PgGX0-kHA/edit?usp=sharing"",""แผน!AT83"")"),0)</f>
        <v>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 hidden="1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IFERROR(__xludf.DUMMYFUNCTION("IMPORTRANGE(""https://docs.google.com/spreadsheets/d/1QqKyyYR6Q21VydFLVH3TRQUabQu_ym0Zz7PgGX0-kHA/edit?usp=sharing"",""แผน!AT83"")"),0)</f>
        <v>0</v>
      </c>
      <c r="J224" s="215">
        <v>0</v>
      </c>
      <c r="K224" s="163">
        <f t="shared" ca="1" si="103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 hidden="1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IFERROR(__xludf.DUMMYFUNCTION("IMPORTRANGE(""https://docs.google.com/spreadsheets/d/1QqKyyYR6Q21VydFLVH3TRQUabQu_ym0Zz7PgGX0-kHA/edit?usp=sharing"",""แผน!AS83"")"),0)</f>
        <v>0</v>
      </c>
      <c r="J225" s="215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7">I244+I255</f>
        <v>0</v>
      </c>
      <c r="J233" s="616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8">I246+I257</f>
        <v>0</v>
      </c>
      <c r="J235" s="616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8"/>
        <v>0</v>
      </c>
      <c r="J236" s="616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IFERROR(__xludf.DUMMYFUNCTION("IMPORTRANGE(""https://docs.google.com/spreadsheets/d/1QqKyyYR6Q21VydFLVH3TRQUabQu_ym0Zz7PgGX0-kHA/edit?usp=sharing"",""แผน!AV83"")"),0)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IFERROR(__xludf.DUMMYFUNCTION("IMPORTRANGE(""https://docs.google.com/spreadsheets/d/1QqKyyYR6Q21VydFLVH3TRQUabQu_ym0Zz7PgGX0-kHA/edit?usp=sharing"",""แผน!AW83"")"),0)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IFERROR(__xludf.DUMMYFUNCTION("IMPORTRANGE(""https://docs.google.com/spreadsheets/d/1QqKyyYR6Q21VydFLVH3TRQUabQu_ym0Zz7PgGX0-kHA/edit?usp=sharing"",""แผน!AX83"")"),0)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IFERROR(__xludf.DUMMYFUNCTION("IMPORTRANGE(""https://docs.google.com/spreadsheets/d/1QqKyyYR6Q21VydFLVH3TRQUabQu_ym0Zz7PgGX0-kHA/edit?usp=sharing"",""แผน!AY83"")"),0)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IFERROR(__xludf.DUMMYFUNCTION("IMPORTRANGE(""https://docs.google.com/spreadsheets/d/1QqKyyYR6Q21VydFLVH3TRQUabQu_ym0Zz7PgGX0-kHA/edit?usp=sharing"",""แผน!BE83"")"),0)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1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1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IFERROR(__xludf.DUMMYFUNCTION("IMPORTRANGE(""https://docs.google.com/spreadsheets/d/1QqKyyYR6Q21VydFLVH3TRQUabQu_ym0Zz7PgGX0-kHA/edit?usp=sharing"",""แผน!AZ83"")"),0)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IFERROR(__xludf.DUMMYFUNCTION("IMPORTRANGE(""https://docs.google.com/spreadsheets/d/1QqKyyYR6Q21VydFLVH3TRQUabQu_ym0Zz7PgGX0-kHA/edit?usp=sharing"",""แผน!BA83"")"),0)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IFERROR(__xludf.DUMMYFUNCTION("IMPORTRANGE(""https://docs.google.com/spreadsheets/d/1QqKyyYR6Q21VydFLVH3TRQUabQu_ym0Zz7PgGX0-kHA/edit?usp=sharing"",""แผน!BB83"")"),0)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IFERROR(__xludf.DUMMYFUNCTION("IMPORTRANGE(""https://docs.google.com/spreadsheets/d/1QqKyyYR6Q21VydFLVH3TRQUabQu_ym0Zz7PgGX0-kHA/edit?usp=sharing"",""แผน!BC83"")"),0)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IFERROR(__xludf.DUMMYFUNCTION("IMPORTRANGE(""https://docs.google.com/spreadsheets/d/1QqKyyYR6Q21VydFLVH3TRQUabQu_ym0Zz7PgGX0-kHA/edit?usp=sharing"",""แผน!BF83"")"),0)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3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3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20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25000</v>
      </c>
      <c r="M261" s="155">
        <f t="shared" ca="1" si="115"/>
        <v>25000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8"/>
        <v>25000</v>
      </c>
      <c r="M263" s="93">
        <f t="shared" ca="1" si="118"/>
        <v>25000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25000</v>
      </c>
      <c r="M264" s="498">
        <f t="shared" ca="1" si="119"/>
        <v>25000</v>
      </c>
      <c r="N264" s="498">
        <f t="shared" ca="1" si="119"/>
        <v>0</v>
      </c>
      <c r="O264" s="498">
        <f t="shared" ca="1" si="116"/>
        <v>0</v>
      </c>
      <c r="P264" s="498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IFERROR(__xludf.DUMMYFUNCTION("IMPORTRANGE(""https://docs.google.com/spreadsheets/d/1MeEWN-I1oV_STSDYn1IFDPWt_1FKiwhDph83XaGc0o0/edit?usp=sharing"",""งบพรบ!CY83"")"),25000)</f>
        <v>25000</v>
      </c>
      <c r="M266" s="93">
        <f ca="1">IFERROR(__xludf.DUMMYFUNCTION("IMPORTRANGE(""https://docs.google.com/spreadsheets/d/1MeEWN-I1oV_STSDYn1IFDPWt_1FKiwhDph83XaGc0o0/edit?usp=sharing"",""งบพรบ!DD83"")"),25000)</f>
        <v>25000</v>
      </c>
      <c r="N266" s="93">
        <f ca="1">IFERROR(__xludf.DUMMYFUNCTION("IMPORTRANGE(""https://docs.google.com/spreadsheets/d/1MeEWN-I1oV_STSDYn1IFDPWt_1FKiwhDph83XaGc0o0/edit?usp=sharing"",""งบพรบ!DF83"")"),0)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IFERROR(__xludf.DUMMYFUNCTION("IMPORTRANGE(""https://docs.google.com/spreadsheets/d/1MeEWN-I1oV_STSDYn1IFDPWt_1FKiwhDph83XaGc0o0/edit?usp=sharing"",""งบพรบ!DB83"")"),0)</f>
        <v>0</v>
      </c>
      <c r="M269" s="93">
        <f ca="1">IFERROR(__xludf.DUMMYFUNCTION("IMPORTRANGE(""https://docs.google.com/spreadsheets/d/1MeEWN-I1oV_STSDYn1IFDPWt_1FKiwhDph83XaGc0o0/edit?usp=sharing"",""งบพรบ!DE83"")"),0)</f>
        <v>0</v>
      </c>
      <c r="N269" s="93">
        <f ca="1">IFERROR(__xludf.DUMMYFUNCTION("IMPORTRANGE(""https://docs.google.com/spreadsheets/d/1MeEWN-I1oV_STSDYn1IFDPWt_1FKiwhDph83XaGc0o0/edit?usp=sharing"",""งบพรบ!DG83"")"),0)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IFERROR(__xludf.DUMMYFUNCTION("IMPORTRANGE(""https://docs.google.com/spreadsheets/d/1QqKyyYR6Q21VydFLVH3TRQUabQu_ym0Zz7PgGX0-kHA/edit?usp=sharing"",""แผน!EA83"")"),20)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3">I287</f>
        <v>0</v>
      </c>
      <c r="J276" s="410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0</v>
      </c>
      <c r="M280" s="498">
        <f t="shared" ca="1" si="128"/>
        <v>0</v>
      </c>
      <c r="N280" s="498">
        <f t="shared" ca="1" si="128"/>
        <v>0</v>
      </c>
      <c r="O280" s="498">
        <f t="shared" ca="1" si="125"/>
        <v>0</v>
      </c>
      <c r="P280" s="49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IFERROR(__xludf.DUMMYFUNCTION("IMPORTRANGE(""https://docs.google.com/spreadsheets/d/1MeEWN-I1oV_STSDYn1IFDPWt_1FKiwhDph83XaGc0o0/edit?usp=sharing"",""งบพรบ!DI83"")"),0)</f>
        <v>0</v>
      </c>
      <c r="M282" s="93">
        <f ca="1">IFERROR(__xludf.DUMMYFUNCTION("IMPORTRANGE(""https://docs.google.com/spreadsheets/d/1MeEWN-I1oV_STSDYn1IFDPWt_1FKiwhDph83XaGc0o0/edit?usp=sharing"",""งบพรบ!DN83"")"),0)</f>
        <v>0</v>
      </c>
      <c r="N282" s="93">
        <f ca="1">IFERROR(__xludf.DUMMYFUNCTION("IMPORTRANGE(""https://docs.google.com/spreadsheets/d/1MeEWN-I1oV_STSDYn1IFDPWt_1FKiwhDph83XaGc0o0/edit?usp=sharing"",""งบพรบ!DP83"")"),0)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IFERROR(__xludf.DUMMYFUNCTION("IMPORTRANGE(""https://docs.google.com/spreadsheets/d/1MeEWN-I1oV_STSDYn1IFDPWt_1FKiwhDph83XaGc0o0/edit?usp=sharing"",""งบพรบ!DL83"")"),0)</f>
        <v>0</v>
      </c>
      <c r="M285" s="93">
        <f ca="1">IFERROR(__xludf.DUMMYFUNCTION("IMPORTRANGE(""https://docs.google.com/spreadsheets/d/1MeEWN-I1oV_STSDYn1IFDPWt_1FKiwhDph83XaGc0o0/edit?usp=sharing"",""งบพรบ!DO83"")"),0)</f>
        <v>0</v>
      </c>
      <c r="N285" s="93">
        <f ca="1">IFERROR(__xludf.DUMMYFUNCTION("IMPORTRANGE(""https://docs.google.com/spreadsheets/d/1MeEWN-I1oV_STSDYn1IFDPWt_1FKiwhDph83XaGc0o0/edit?usp=sharing"",""งบพรบ!DQ83"")"),0)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IFERROR(__xludf.DUMMYFUNCTION("IMPORTRANGE(""https://docs.google.com/spreadsheets/d/1QqKyyYR6Q21VydFLVH3TRQUabQu_ym0Zz7PgGX0-kHA/edit?usp=sharing"",""แผน!EC83"")"),0)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IFERROR(__xludf.DUMMYFUNCTION("IMPORTRANGE(""https://docs.google.com/spreadsheets/d/1QqKyyYR6Q21VydFLVH3TRQUabQu_ym0Zz7PgGX0-kHA/edit?usp=sharing"",""แผน!EB83"")"),0)</f>
        <v>0</v>
      </c>
      <c r="J288" s="680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IFERROR(__xludf.DUMMYFUNCTION("IMPORTRANGE(""https://docs.google.com/spreadsheets/d/1QqKyyYR6Q21VydFLVH3TRQUabQu_ym0Zz7PgGX0-kHA/edit?usp=sharing"",""แผน!EB83"")"),0)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IFERROR(__xludf.DUMMYFUNCTION("IMPORTRANGE(""https://docs.google.com/spreadsheets/d/1QqKyyYR6Q21VydFLVH3TRQUabQu_ym0Zz7PgGX0-kHA/edit?usp=sharing"",""แผน!EB83"")"),0)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IFERROR(__xludf.DUMMYFUNCTION("IMPORTRANGE(""https://docs.google.com/spreadsheets/d/1QqKyyYR6Q21VydFLVH3TRQUabQu_ym0Zz7PgGX0-kHA/edit?usp=sharing"",""แผน!EB83"")"),0)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IFERROR(__xludf.DUMMYFUNCTION("IMPORTRANGE(""https://docs.google.com/spreadsheets/d/1QqKyyYR6Q21VydFLVH3TRQUabQu_ym0Zz7PgGX0-kHA/edit?usp=sharing"",""แผน!EB83"")"),0)</f>
        <v>0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0</v>
      </c>
      <c r="M301" s="498">
        <f t="shared" ca="1" si="138"/>
        <v>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IFERROR(__xludf.DUMMYFUNCTION("IMPORTRANGE(""https://docs.google.com/spreadsheets/d/1MeEWN-I1oV_STSDYn1IFDPWt_1FKiwhDph83XaGc0o0/edit?usp=sharing"",""งบพรบ!DS83"")"),0)</f>
        <v>0</v>
      </c>
      <c r="M303" s="93">
        <f ca="1">IFERROR(__xludf.DUMMYFUNCTION("IMPORTRANGE(""https://docs.google.com/spreadsheets/d/1MeEWN-I1oV_STSDYn1IFDPWt_1FKiwhDph83XaGc0o0/edit?usp=sharing"",""งบพรบ!DX83"")"),0)</f>
        <v>0</v>
      </c>
      <c r="N303" s="93">
        <f ca="1">IFERROR(__xludf.DUMMYFUNCTION("IMPORTRANGE(""https://docs.google.com/spreadsheets/d/1MeEWN-I1oV_STSDYn1IFDPWt_1FKiwhDph83XaGc0o0/edit?usp=sharing"",""งบพรบ!DZ83"")"),0)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IFERROR(__xludf.DUMMYFUNCTION("IMPORTRANGE(""https://docs.google.com/spreadsheets/d/1MeEWN-I1oV_STSDYn1IFDPWt_1FKiwhDph83XaGc0o0/edit?usp=sharing"",""งบพรบ!DV83"")"),0)</f>
        <v>0</v>
      </c>
      <c r="M306" s="93">
        <f ca="1">IFERROR(__xludf.DUMMYFUNCTION("IMPORTRANGE(""https://docs.google.com/spreadsheets/d/1MeEWN-I1oV_STSDYn1IFDPWt_1FKiwhDph83XaGc0o0/edit?usp=sharing"",""งบพรบ!DY83"")"),0)</f>
        <v>0</v>
      </c>
      <c r="N306" s="93">
        <f ca="1">IFERROR(__xludf.DUMMYFUNCTION("IMPORTRANGE(""https://docs.google.com/spreadsheets/d/1MeEWN-I1oV_STSDYn1IFDPWt_1FKiwhDph83XaGc0o0/edit?usp=sharing"",""งบพรบ!EA83"")"),0)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IFERROR(__xludf.DUMMYFUNCTION("IMPORTRANGE(""https://docs.google.com/spreadsheets/d/1QqKyyYR6Q21VydFLVH3TRQUabQu_ym0Zz7PgGX0-kHA/edit?usp=sharing"",""แผน!ED83"")"),0)</f>
        <v>0</v>
      </c>
      <c r="J309" s="215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IFERROR(__xludf.DUMMYFUNCTION("IMPORTRANGE(""https://docs.google.com/spreadsheets/d/1QqKyyYR6Q21VydFLVH3TRQUabQu_ym0Zz7PgGX0-kHA/edit?usp=sharing"",""แผน!ED83"")"),0)</f>
        <v>0</v>
      </c>
      <c r="J310" s="215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IFERROR(__xludf.DUMMYFUNCTION("IMPORTRANGE(""https://docs.google.com/spreadsheets/d/1QqKyyYR6Q21VydFLVH3TRQUabQu_ym0Zz7PgGX0-kHA/edit?usp=sharing"",""แผน!ED83"")"),0)</f>
        <v>0</v>
      </c>
      <c r="J311" s="215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IFERROR(__xludf.DUMMYFUNCTION("IMPORTRANGE(""https://docs.google.com/spreadsheets/d/1QqKyyYR6Q21VydFLVH3TRQUabQu_ym0Zz7PgGX0-kHA/edit?usp=sharing"",""แผน!EE83"")"),0)</f>
        <v>0</v>
      </c>
      <c r="J312" s="215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0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0</v>
      </c>
      <c r="M318" s="498">
        <f t="shared" ca="1" si="146"/>
        <v>0</v>
      </c>
      <c r="N318" s="498">
        <f t="shared" ca="1" si="146"/>
        <v>0</v>
      </c>
      <c r="O318" s="498">
        <f t="shared" ca="1" si="143"/>
        <v>0</v>
      </c>
      <c r="P318" s="49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IFERROR(__xludf.DUMMYFUNCTION("IMPORTRANGE(""https://docs.google.com/spreadsheets/d/1MeEWN-I1oV_STSDYn1IFDPWt_1FKiwhDph83XaGc0o0/edit?usp=sharing"",""งบพรบ!EC83"")"),0)</f>
        <v>0</v>
      </c>
      <c r="M320" s="93">
        <f ca="1">IFERROR(__xludf.DUMMYFUNCTION("IMPORTRANGE(""https://docs.google.com/spreadsheets/d/1MeEWN-I1oV_STSDYn1IFDPWt_1FKiwhDph83XaGc0o0/edit?usp=sharing"",""งบพรบ!EH83"")"),0)</f>
        <v>0</v>
      </c>
      <c r="N320" s="93">
        <f ca="1">IFERROR(__xludf.DUMMYFUNCTION("IMPORTRANGE(""https://docs.google.com/spreadsheets/d/1MeEWN-I1oV_STSDYn1IFDPWt_1FKiwhDph83XaGc0o0/edit?usp=sharing"",""งบพรบ!EJ83"")"),0)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0</v>
      </c>
      <c r="M321" s="498">
        <f t="shared" ca="1" si="147"/>
        <v>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IFERROR(__xludf.DUMMYFUNCTION("IMPORTRANGE(""https://docs.google.com/spreadsheets/d/1MeEWN-I1oV_STSDYn1IFDPWt_1FKiwhDph83XaGc0o0/edit?usp=sharing"",""งบพรบ!EF83"")"),0)</f>
        <v>0</v>
      </c>
      <c r="M323" s="93">
        <f ca="1">IFERROR(__xludf.DUMMYFUNCTION("IMPORTRANGE(""https://docs.google.com/spreadsheets/d/1MeEWN-I1oV_STSDYn1IFDPWt_1FKiwhDph83XaGc0o0/edit?usp=sharing"",""งบพรบ!EI83"")"),0)</f>
        <v>0</v>
      </c>
      <c r="N323" s="93">
        <f ca="1">IFERROR(__xludf.DUMMYFUNCTION("IMPORTRANGE(""https://docs.google.com/spreadsheets/d/1MeEWN-I1oV_STSDYn1IFDPWt_1FKiwhDph83XaGc0o0/edit?usp=sharing"",""งบพรบ!EK83"")"),0)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IFERROR(__xludf.DUMMYFUNCTION("IMPORTRANGE(""https://docs.google.com/spreadsheets/d/1QqKyyYR6Q21VydFLVH3TRQUabQu_ym0Zz7PgGX0-kHA/edit?usp=sharing"",""แผน!EF83"")"),0)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IFERROR(__xludf.DUMMYFUNCTION("IMPORTRANGE(""https://docs.google.com/spreadsheets/d/1QqKyyYR6Q21VydFLVH3TRQUabQu_ym0Zz7PgGX0-kHA/edit?usp=sharing"",""แผน!EG83"")"),180)</f>
        <v>180</v>
      </c>
      <c r="J327" s="445">
        <f ca="1">J338+J341+J342+J343</f>
        <v>179</v>
      </c>
      <c r="K327" s="446">
        <f ca="1">IF(I327&gt;0,J327*100/I327,0)</f>
        <v>99.444444444444443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157000</v>
      </c>
      <c r="M328" s="155">
        <f t="shared" ca="1" si="148"/>
        <v>159500</v>
      </c>
      <c r="N328" s="155">
        <f t="shared" ca="1" si="148"/>
        <v>108706.2</v>
      </c>
      <c r="O328" s="155">
        <f t="shared" ref="O328:O336" ca="1" si="149">IF(L328&gt;0,N328*100/L328,0)</f>
        <v>69.239617834394906</v>
      </c>
      <c r="P328" s="155">
        <f t="shared" ref="P328:P336" ca="1" si="150">IF(M328&gt;0,N328*100/M328,0)</f>
        <v>68.154357366771166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1"/>
        <v>157000</v>
      </c>
      <c r="M330" s="93">
        <f t="shared" ca="1" si="151"/>
        <v>159500</v>
      </c>
      <c r="N330" s="93">
        <f t="shared" ca="1" si="151"/>
        <v>108706.2</v>
      </c>
      <c r="O330" s="93">
        <f t="shared" ca="1" si="149"/>
        <v>69.239617834394906</v>
      </c>
      <c r="P330" s="93">
        <f t="shared" ca="1" si="150"/>
        <v>68.154357366771166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157000</v>
      </c>
      <c r="M331" s="498">
        <f t="shared" ca="1" si="152"/>
        <v>159500</v>
      </c>
      <c r="N331" s="498">
        <f t="shared" ca="1" si="152"/>
        <v>108706.2</v>
      </c>
      <c r="O331" s="498">
        <f t="shared" ca="1" si="149"/>
        <v>69.239617834394906</v>
      </c>
      <c r="P331" s="498">
        <f t="shared" ca="1" si="150"/>
        <v>68.154357366771166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IFERROR(__xludf.DUMMYFUNCTION("IMPORTRANGE(""https://docs.google.com/spreadsheets/d/1MeEWN-I1oV_STSDYn1IFDPWt_1FKiwhDph83XaGc0o0/edit?usp=sharing"",""งบพรบ!EM83"")"),157000)</f>
        <v>157000</v>
      </c>
      <c r="M333" s="93">
        <f ca="1">IFERROR(__xludf.DUMMYFUNCTION("IMPORTRANGE(""https://docs.google.com/spreadsheets/d/1MeEWN-I1oV_STSDYn1IFDPWt_1FKiwhDph83XaGc0o0/edit?usp=sharing"",""งบพรบ!ER83"")"),159500)</f>
        <v>159500</v>
      </c>
      <c r="N333" s="93">
        <f ca="1">IFERROR(__xludf.DUMMYFUNCTION("IMPORTRANGE(""https://docs.google.com/spreadsheets/d/1MeEWN-I1oV_STSDYn1IFDPWt_1FKiwhDph83XaGc0o0/edit?usp=sharing"",""งบพรบ!ET83"")"),108706.2)</f>
        <v>108706.2</v>
      </c>
      <c r="O333" s="93">
        <f t="shared" ca="1" si="149"/>
        <v>69.239617834394906</v>
      </c>
      <c r="P333" s="93">
        <f t="shared" ca="1" si="150"/>
        <v>68.154357366771166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IFERROR(__xludf.DUMMYFUNCTION("IMPORTRANGE(""https://docs.google.com/spreadsheets/d/1MeEWN-I1oV_STSDYn1IFDPWt_1FKiwhDph83XaGc0o0/edit?usp=sharing"",""งบพรบ!EP83"")"),0)</f>
        <v>0</v>
      </c>
      <c r="M336" s="93">
        <f ca="1">IFERROR(__xludf.DUMMYFUNCTION("IMPORTRANGE(""https://docs.google.com/spreadsheets/d/1MeEWN-I1oV_STSDYn1IFDPWt_1FKiwhDph83XaGc0o0/edit?usp=sharing"",""งบพรบ!ES83"")"),0)</f>
        <v>0</v>
      </c>
      <c r="N336" s="93">
        <f ca="1">IFERROR(__xludf.DUMMYFUNCTION("IMPORTRANGE(""https://docs.google.com/spreadsheets/d/1MeEWN-I1oV_STSDYn1IFDPWt_1FKiwhDph83XaGc0o0/edit?usp=sharing"",""งบพรบ!EU83"")"),0)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IFERROR(__xludf.DUMMYFUNCTION("IMPORTRANGE(""https://docs.google.com/spreadsheets/d/1QqKyyYR6Q21VydFLVH3TRQUabQu_ym0Zz7PgGX0-kHA/edit?usp=sharing"",""แผน!EG83"")"),180)</f>
        <v>180</v>
      </c>
      <c r="J338" s="270">
        <f ca="1">IFERROR(__xludf.DUMMYFUNCTION("IMPORTRANGE(""https://docs.google.com/spreadsheets/d/1kVcqe37tkHyjCSG3S0O1AXqVkqjo8mSIZil3BcpIysc/edit?usp=sharing"",""ศูนย์!D83"")"),163)</f>
        <v>163</v>
      </c>
      <c r="K338" s="498">
        <f ca="1">IF(I338&gt;0,J338*100/I338,0)</f>
        <v>90.555555555555557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IFERROR(__xludf.DUMMYFUNCTION("IMPORTRANGE(""https://docs.google.com/spreadsheets/d/1QqKyyYR6Q21VydFLVH3TRQUabQu_ym0Zz7PgGX0-kHA/edit?usp=sharing"",""แผน!EH83"")"),2)</f>
        <v>2</v>
      </c>
      <c r="J340" s="270">
        <f ca="1">IFERROR(__xludf.DUMMYFUNCTION("IMPORTRANGE(""https://docs.google.com/spreadsheets/d/1kVcqe37tkHyjCSG3S0O1AXqVkqjo8mSIZil3BcpIysc/edit?usp=sharing"",""ศูนย์!E83"")"),2)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IFERROR(__xludf.DUMMYFUNCTION("IMPORTRANGE(""https://docs.google.com/spreadsheets/d/1kVcqe37tkHyjCSG3S0O1AXqVkqjo8mSIZil3BcpIysc/edit?usp=sharing"",""ศูนย์!F83"")"),16)</f>
        <v>16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IFERROR(__xludf.DUMMYFUNCTION("IMPORTRANGE(""https://docs.google.com/spreadsheets/d/1kVcqe37tkHyjCSG3S0O1AXqVkqjo8mSIZil3BcpIysc/edit?usp=sharing"",""ศูนย์!G83"")"),0)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IFERROR(__xludf.DUMMYFUNCTION("IMPORTRANGE(""https://docs.google.com/spreadsheets/d/1kVcqe37tkHyjCSG3S0O1AXqVkqjo8mSIZil3BcpIysc/edit?usp=sharing"",""ศูนย์!H83"")"),0)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518760</v>
      </c>
      <c r="M345" s="155">
        <f t="shared" ca="1" si="154"/>
        <v>751380</v>
      </c>
      <c r="N345" s="155">
        <f t="shared" ca="1" si="154"/>
        <v>486208.72</v>
      </c>
      <c r="O345" s="155">
        <f t="shared" ref="O345:O353" ca="1" si="155">IF(L345&gt;0,N345*100/L345,0)</f>
        <v>93.725175418305184</v>
      </c>
      <c r="P345" s="155">
        <f t="shared" ref="P345:P353" ca="1" si="156">IF(M345&gt;0,N345*100/M345,0)</f>
        <v>64.708765205355476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7"/>
        <v>518760</v>
      </c>
      <c r="M347" s="93">
        <f t="shared" ca="1" si="157"/>
        <v>751380</v>
      </c>
      <c r="N347" s="93">
        <f t="shared" ca="1" si="157"/>
        <v>486208.72</v>
      </c>
      <c r="O347" s="93">
        <f t="shared" ca="1" si="155"/>
        <v>93.725175418305184</v>
      </c>
      <c r="P347" s="93">
        <f t="shared" ca="1" si="156"/>
        <v>64.708765205355476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404960</v>
      </c>
      <c r="M348" s="498">
        <f t="shared" ca="1" si="158"/>
        <v>637780</v>
      </c>
      <c r="N348" s="498">
        <f t="shared" ca="1" si="158"/>
        <v>372608.72</v>
      </c>
      <c r="O348" s="498">
        <f t="shared" ca="1" si="155"/>
        <v>92.011240616357171</v>
      </c>
      <c r="P348" s="498">
        <f t="shared" ca="1" si="156"/>
        <v>58.422766471196965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IFERROR(__xludf.DUMMYFUNCTION("IMPORTRANGE(""https://docs.google.com/spreadsheets/d/1MeEWN-I1oV_STSDYn1IFDPWt_1FKiwhDph83XaGc0o0/edit?usp=sharing"",""งบพรบ!EW83"")"),404960)</f>
        <v>404960</v>
      </c>
      <c r="M350" s="93">
        <f ca="1">IFERROR(__xludf.DUMMYFUNCTION("IMPORTRANGE(""https://docs.google.com/spreadsheets/d/1MeEWN-I1oV_STSDYn1IFDPWt_1FKiwhDph83XaGc0o0/edit?usp=sharing"",""งบพรบ!FB83"")"),637780)</f>
        <v>637780</v>
      </c>
      <c r="N350" s="93">
        <f ca="1">IFERROR(__xludf.DUMMYFUNCTION("IMPORTRANGE(""https://docs.google.com/spreadsheets/d/1MeEWN-I1oV_STSDYn1IFDPWt_1FKiwhDph83XaGc0o0/edit?usp=sharing"",""งบพรบ!FD83"")"),372608.72)</f>
        <v>372608.72</v>
      </c>
      <c r="O350" s="93">
        <f t="shared" ca="1" si="155"/>
        <v>92.011240616357171</v>
      </c>
      <c r="P350" s="93">
        <f t="shared" ca="1" si="156"/>
        <v>58.422766471196965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113800</v>
      </c>
      <c r="M351" s="498">
        <f t="shared" ca="1" si="159"/>
        <v>113600</v>
      </c>
      <c r="N351" s="498">
        <f t="shared" ca="1" si="159"/>
        <v>113600</v>
      </c>
      <c r="O351" s="498">
        <f t="shared" ca="1" si="155"/>
        <v>99.824253075571178</v>
      </c>
      <c r="P351" s="49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IFERROR(__xludf.DUMMYFUNCTION("IMPORTRANGE(""https://docs.google.com/spreadsheets/d/1MeEWN-I1oV_STSDYn1IFDPWt_1FKiwhDph83XaGc0o0/edit?usp=sharing"",""งบพรบ!EZ83"")"),113800)</f>
        <v>113800</v>
      </c>
      <c r="M353" s="93">
        <f ca="1">IFERROR(__xludf.DUMMYFUNCTION("IMPORTRANGE(""https://docs.google.com/spreadsheets/d/1MeEWN-I1oV_STSDYn1IFDPWt_1FKiwhDph83XaGc0o0/edit?usp=sharing"",""งบพรบ!FC83"")"),113600)</f>
        <v>113600</v>
      </c>
      <c r="N353" s="93">
        <f ca="1">IFERROR(__xludf.DUMMYFUNCTION("IMPORTRANGE(""https://docs.google.com/spreadsheets/d/1MeEWN-I1oV_STSDYn1IFDPWt_1FKiwhDph83XaGc0o0/edit?usp=sharing"",""งบพรบ!FE83"")"),113600)</f>
        <v>113600</v>
      </c>
      <c r="O353" s="93">
        <f t="shared" ca="1" si="155"/>
        <v>99.824253075571178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IFERROR(__xludf.DUMMYFUNCTION("IMPORTRANGE(""https://docs.google.com/spreadsheets/d/1QqKyyYR6Q21VydFLVH3TRQUabQu_ym0Zz7PgGX0-kHA/edit?usp=sharing"",""แผน!EP83"")"),10)</f>
        <v>10</v>
      </c>
      <c r="J355" s="465">
        <f ca="1">J362</f>
        <v>14</v>
      </c>
      <c r="K355" s="466">
        <f ca="1">IF(I355&gt;0,J355*100/I355,0)</f>
        <v>140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IFERROR(__xludf.DUMMYFUNCTION("IMPORTRANGE(""https://docs.google.com/spreadsheets/d/1XWAQStnk-4SwqDmLtmXYiTMKHgktTP8We1SCoS47DrQ/edit?usp=sharing"",""จัดที่ดิน!W83"")"),14)</f>
        <v>14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IFERROR(__xludf.DUMMYFUNCTION("IMPORTRANGE(""https://docs.google.com/spreadsheets/d/1QqKyyYR6Q21VydFLVH3TRQUabQu_ym0Zz7PgGX0-kHA/edit?usp=sharing"",""แผน!EO83"")"),35)</f>
        <v>35</v>
      </c>
      <c r="J359" s="270">
        <f ca="1">IFERROR(__xludf.DUMMYFUNCTION("IMPORTRANGE(""https://docs.google.com/spreadsheets/d/1XWAQStnk-4SwqDmLtmXYiTMKHgktTP8We1SCoS47DrQ/edit?usp=sharing"",""จัดที่ดิน!X83"")"),58.8)</f>
        <v>58.8</v>
      </c>
      <c r="K359" s="498">
        <f t="shared" ca="1" si="160"/>
        <v>168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IFERROR(__xludf.DUMMYFUNCTION("IMPORTRANGE(""https://docs.google.com/spreadsheets/d/1QqKyyYR6Q21VydFLVH3TRQUabQu_ym0Zz7PgGX0-kHA/edit?usp=sharing"",""แผน!EP83"")"),10)</f>
        <v>10</v>
      </c>
      <c r="J360" s="270">
        <f ca="1">IFERROR(__xludf.DUMMYFUNCTION("IMPORTRANGE(""https://docs.google.com/spreadsheets/d/1XWAQStnk-4SwqDmLtmXYiTMKHgktTP8We1SCoS47DrQ/edit?usp=sharing"",""จัดที่ดิน!Y83"")"),14)</f>
        <v>14</v>
      </c>
      <c r="K360" s="498">
        <f t="shared" ca="1" si="160"/>
        <v>140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IFERROR(__xludf.DUMMYFUNCTION("IMPORTRANGE(""https://docs.google.com/spreadsheets/d/1XWAQStnk-4SwqDmLtmXYiTMKHgktTP8We1SCoS47DrQ/edit?usp=sharing"",""จัดที่ดิน!Z83"")"),58.8)</f>
        <v>58.8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IFERROR(__xludf.DUMMYFUNCTION("IMPORTRANGE(""https://docs.google.com/spreadsheets/d/1QqKyyYR6Q21VydFLVH3TRQUabQu_ym0Zz7PgGX0-kHA/edit?usp=sharing"",""แผน!EP83"")"),10)</f>
        <v>10</v>
      </c>
      <c r="J362" s="270">
        <f ca="1">IFERROR(__xludf.DUMMYFUNCTION("IMPORTRANGE(""https://docs.google.com/spreadsheets/d/1XWAQStnk-4SwqDmLtmXYiTMKHgktTP8We1SCoS47DrQ/edit?usp=sharing"",""จัดที่ดิน!AA83"")"),14)</f>
        <v>14</v>
      </c>
      <c r="K362" s="498">
        <f t="shared" ca="1" si="160"/>
        <v>140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IFERROR(__xludf.DUMMYFUNCTION("IMPORTRANGE(""https://docs.google.com/spreadsheets/d/1XWAQStnk-4SwqDmLtmXYiTMKHgktTP8We1SCoS47DrQ/edit?usp=sharing"",""จัดที่ดิน!AB83"")"),58.8)</f>
        <v>58.8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20</v>
      </c>
      <c r="J364" s="479">
        <f t="shared" ca="1" si="161"/>
        <v>25</v>
      </c>
      <c r="K364" s="480">
        <f t="shared" ca="1" si="160"/>
        <v>125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IFERROR(__xludf.DUMMYFUNCTION("IMPORTRANGE(""https://docs.google.com/spreadsheets/d/1QqKyyYR6Q21VydFLVH3TRQUabQu_ym0Zz7PgGX0-kHA/edit?usp=sharing"",""แผน!EJ83"")"),1)</f>
        <v>1</v>
      </c>
      <c r="J365" s="491">
        <f ca="1">J372</f>
        <v>0</v>
      </c>
      <c r="K365" s="492">
        <f t="shared" ca="1" si="160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IFERROR(__xludf.DUMMYFUNCTION("IMPORTRANGE(""https://docs.google.com/spreadsheets/d/1XWAQStnk-4SwqDmLtmXYiTMKHgktTP8We1SCoS47DrQ/edit?usp=sharing"",""จัดที่ดิน!E83"")"),0)</f>
        <v>0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IFERROR(__xludf.DUMMYFUNCTION("IMPORTRANGE(""https://docs.google.com/spreadsheets/d/1QqKyyYR6Q21VydFLVH3TRQUabQu_ym0Zz7PgGX0-kHA/edit?usp=sharing"",""แผน!EI83"")"),3)</f>
        <v>3</v>
      </c>
      <c r="J369" s="270">
        <f ca="1">IFERROR(__xludf.DUMMYFUNCTION("IMPORTRANGE(""https://docs.google.com/spreadsheets/d/1XWAQStnk-4SwqDmLtmXYiTMKHgktTP8We1SCoS47DrQ/edit?usp=sharing"",""จัดที่ดิน!F83"")"),0)</f>
        <v>0</v>
      </c>
      <c r="K369" s="498">
        <f t="shared" ca="1" si="162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IFERROR(__xludf.DUMMYFUNCTION("IMPORTRANGE(""https://docs.google.com/spreadsheets/d/1QqKyyYR6Q21VydFLVH3TRQUabQu_ym0Zz7PgGX0-kHA/edit?usp=sharing"",""แผน!EJ83"")"),1)</f>
        <v>1</v>
      </c>
      <c r="J370" s="270">
        <f ca="1">IFERROR(__xludf.DUMMYFUNCTION("IMPORTRANGE(""https://docs.google.com/spreadsheets/d/1XWAQStnk-4SwqDmLtmXYiTMKHgktTP8We1SCoS47DrQ/edit?usp=sharing"",""จัดที่ดิน!G83"")"),0)</f>
        <v>0</v>
      </c>
      <c r="K370" s="498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IFERROR(__xludf.DUMMYFUNCTION("IMPORTRANGE(""https://docs.google.com/spreadsheets/d/1XWAQStnk-4SwqDmLtmXYiTMKHgktTP8We1SCoS47DrQ/edit?usp=sharing"",""จัดที่ดิน!H83"")"),0)</f>
        <v>0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IFERROR(__xludf.DUMMYFUNCTION("IMPORTRANGE(""https://docs.google.com/spreadsheets/d/1QqKyyYR6Q21VydFLVH3TRQUabQu_ym0Zz7PgGX0-kHA/edit?usp=sharing"",""แผน!EJ83"")"),1)</f>
        <v>1</v>
      </c>
      <c r="J372" s="270">
        <f ca="1">IFERROR(__xludf.DUMMYFUNCTION("IMPORTRANGE(""https://docs.google.com/spreadsheets/d/1XWAQStnk-4SwqDmLtmXYiTMKHgktTP8We1SCoS47DrQ/edit?usp=sharing"",""จัดที่ดิน!I83"")"),0)</f>
        <v>0</v>
      </c>
      <c r="K372" s="498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IFERROR(__xludf.DUMMYFUNCTION("IMPORTRANGE(""https://docs.google.com/spreadsheets/d/1XWAQStnk-4SwqDmLtmXYiTMKHgktTP8We1SCoS47DrQ/edit?usp=sharing"",""จัดที่ดิน!J83"")"),0)</f>
        <v>0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IFERROR(__xludf.DUMMYFUNCTION("IMPORTRANGE(""https://docs.google.com/spreadsheets/d/1QqKyyYR6Q21VydFLVH3TRQUabQu_ym0Zz7PgGX0-kHA/edit?usp=sharing"",""แผน!EU83"")"),19)</f>
        <v>19</v>
      </c>
      <c r="J374" s="491">
        <f ca="1">J381</f>
        <v>25</v>
      </c>
      <c r="K374" s="492">
        <f t="shared" ca="1" si="162"/>
        <v>131.57894736842104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IFERROR(__xludf.DUMMYFUNCTION("IMPORTRANGE(""https://docs.google.com/spreadsheets/d/1XWAQStnk-4SwqDmLtmXYiTMKHgktTP8We1SCoS47DrQ/edit?usp=sharing"",""จัดที่ดิน!AH83"")"),14)</f>
        <v>14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IFERROR(__xludf.DUMMYFUNCTION("IMPORTRANGE(""https://docs.google.com/spreadsheets/d/1QqKyyYR6Q21VydFLVH3TRQUabQu_ym0Zz7PgGX0-kHA/edit?usp=sharing"",""แผน!ET83"")"),32)</f>
        <v>32</v>
      </c>
      <c r="J378" s="270">
        <f ca="1">IFERROR(__xludf.DUMMYFUNCTION("IMPORTRANGE(""https://docs.google.com/spreadsheets/d/1XWAQStnk-4SwqDmLtmXYiTMKHgktTP8We1SCoS47DrQ/edit?usp=sharing"",""จัดที่ดิน!AI83"")"),58.8)</f>
        <v>58.8</v>
      </c>
      <c r="K378" s="498">
        <f t="shared" ca="1" si="163"/>
        <v>183.75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IFERROR(__xludf.DUMMYFUNCTION("IMPORTRANGE(""https://docs.google.com/spreadsheets/d/1QqKyyYR6Q21VydFLVH3TRQUabQu_ym0Zz7PgGX0-kHA/edit?usp=sharing"",""แผน!EU83"")"),19)</f>
        <v>19</v>
      </c>
      <c r="J379" s="270">
        <f ca="1">IFERROR(__xludf.DUMMYFUNCTION("IMPORTRANGE(""https://docs.google.com/spreadsheets/d/1XWAQStnk-4SwqDmLtmXYiTMKHgktTP8We1SCoS47DrQ/edit?usp=sharing"",""จัดที่ดิน!AJ83"")"),25)</f>
        <v>25</v>
      </c>
      <c r="K379" s="498">
        <f t="shared" ca="1" si="163"/>
        <v>131.57894736842104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IFERROR(__xludf.DUMMYFUNCTION("IMPORTRANGE(""https://docs.google.com/spreadsheets/d/1XWAQStnk-4SwqDmLtmXYiTMKHgktTP8We1SCoS47DrQ/edit?usp=sharing"",""จัดที่ดิน!AK83"")"),217.74)</f>
        <v>217.74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IFERROR(__xludf.DUMMYFUNCTION("IMPORTRANGE(""https://docs.google.com/spreadsheets/d/1QqKyyYR6Q21VydFLVH3TRQUabQu_ym0Zz7PgGX0-kHA/edit?usp=sharing"",""แผน!EU83"")"),19)</f>
        <v>19</v>
      </c>
      <c r="J381" s="270">
        <f ca="1">IFERROR(__xludf.DUMMYFUNCTION("IMPORTRANGE(""https://docs.google.com/spreadsheets/d/1XWAQStnk-4SwqDmLtmXYiTMKHgktTP8We1SCoS47DrQ/edit?usp=sharing"",""จัดที่ดิน!AL83"")"),25)</f>
        <v>25</v>
      </c>
      <c r="K381" s="498">
        <f t="shared" ca="1" si="163"/>
        <v>131.57894736842104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IFERROR(__xludf.DUMMYFUNCTION("IMPORTRANGE(""https://docs.google.com/spreadsheets/d/1XWAQStnk-4SwqDmLtmXYiTMKHgktTP8We1SCoS47DrQ/edit?usp=sharing"",""จัดที่ดิน!AM83"")"),217.74)</f>
        <v>217.74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IFERROR(__xludf.DUMMYFUNCTION("IMPORTRANGE(""https://docs.google.com/spreadsheets/d/1QqKyyYR6Q21VydFLVH3TRQUabQu_ym0Zz7PgGX0-kHA/edit?usp=sharing"",""แผน!EW83"")"),2)</f>
        <v>2</v>
      </c>
      <c r="J385" s="505">
        <f ca="1">IFERROR(__xludf.DUMMYFUNCTION("IMPORTRANGE(""https://docs.google.com/spreadsheets/d/1XWAQStnk-4SwqDmLtmXYiTMKHgktTP8We1SCoS47DrQ/edit?usp=sharing"",""จัดที่ดิน!AP83"")"),5)</f>
        <v>5</v>
      </c>
      <c r="K385" s="506">
        <f ca="1">IF(I385&gt;0,J385*100/I385,0)</f>
        <v>250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4">I400</f>
        <v>0</v>
      </c>
      <c r="J388" s="526">
        <f t="shared" si="164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IFERROR(__xludf.DUMMYFUNCTION("IMPORTRANGE(""https://docs.google.com/spreadsheets/d/1MeEWN-I1oV_STSDYn1IFDPWt_1FKiwhDph83XaGc0o0/edit?usp=sharing"",""งบพรบ!FG83"")"),0)</f>
        <v>0</v>
      </c>
      <c r="M394" s="93">
        <f ca="1">IFERROR(__xludf.DUMMYFUNCTION("IMPORTRANGE(""https://docs.google.com/spreadsheets/d/1MeEWN-I1oV_STSDYn1IFDPWt_1FKiwhDph83XaGc0o0/edit?usp=sharing"",""งบพรบ!FL83"")"),0)</f>
        <v>0</v>
      </c>
      <c r="N394" s="93">
        <f ca="1">IFERROR(__xludf.DUMMYFUNCTION("IMPORTRANGE(""https://docs.google.com/spreadsheets/d/1MeEWN-I1oV_STSDYn1IFDPWt_1FKiwhDph83XaGc0o0/edit?usp=sharing"",""งบพรบ!FN83"")"),0)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0</v>
      </c>
      <c r="M395" s="498">
        <f t="shared" ca="1" si="170"/>
        <v>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IFERROR(__xludf.DUMMYFUNCTION("IMPORTRANGE(""https://docs.google.com/spreadsheets/d/1MeEWN-I1oV_STSDYn1IFDPWt_1FKiwhDph83XaGc0o0/edit?usp=sharing"",""งบพรบ!FJ83"")"),0)</f>
        <v>0</v>
      </c>
      <c r="M397" s="93">
        <f ca="1">IFERROR(__xludf.DUMMYFUNCTION("IMPORTRANGE(""https://docs.google.com/spreadsheets/d/1MeEWN-I1oV_STSDYn1IFDPWt_1FKiwhDph83XaGc0o0/edit?usp=sharing"",""งบพรบ!FM83"")"),0)</f>
        <v>0</v>
      </c>
      <c r="N397" s="93">
        <f ca="1">IFERROR(__xludf.DUMMYFUNCTION("IMPORTRANGE(""https://docs.google.com/spreadsheets/d/1MeEWN-I1oV_STSDYn1IFDPWt_1FKiwhDph83XaGc0o0/edit?usp=sharing"",""งบพรบ!FO83"")"),0)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1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2">I412</f>
        <v>0</v>
      </c>
      <c r="J401" s="526">
        <f t="shared" si="172"/>
        <v>0</v>
      </c>
      <c r="K401" s="527">
        <f t="shared" si="171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IFERROR(__xludf.DUMMYFUNCTION("IMPORTRANGE(""https://docs.google.com/spreadsheets/d/1MeEWN-I1oV_STSDYn1IFDPWt_1FKiwhDph83XaGc0o0/edit?usp=sharing"",""งบพรบ!FQ83"")"),0)</f>
        <v>0</v>
      </c>
      <c r="M407" s="93">
        <f ca="1">IFERROR(__xludf.DUMMYFUNCTION("IMPORTRANGE(""https://docs.google.com/spreadsheets/d/1MeEWN-I1oV_STSDYn1IFDPWt_1FKiwhDph83XaGc0o0/edit?usp=sharing"",""งบพรบ!FV83"")"),0)</f>
        <v>0</v>
      </c>
      <c r="N407" s="93">
        <f ca="1">IFERROR(__xludf.DUMMYFUNCTION("IMPORTRANGE(""https://docs.google.com/spreadsheets/d/1MeEWN-I1oV_STSDYn1IFDPWt_1FKiwhDph83XaGc0o0/edit?usp=sharing"",""งบพรบ!FX83"")"),0)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0</v>
      </c>
      <c r="M408" s="498">
        <f t="shared" ca="1" si="178"/>
        <v>0</v>
      </c>
      <c r="N408" s="498">
        <f t="shared" ca="1" si="178"/>
        <v>0</v>
      </c>
      <c r="O408" s="498">
        <f t="shared" ca="1" si="174"/>
        <v>0</v>
      </c>
      <c r="P408" s="49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IFERROR(__xludf.DUMMYFUNCTION("IMPORTRANGE(""https://docs.google.com/spreadsheets/d/1MeEWN-I1oV_STSDYn1IFDPWt_1FKiwhDph83XaGc0o0/edit?usp=sharing"",""งบพรบ!FT83"")"),0)</f>
        <v>0</v>
      </c>
      <c r="M410" s="93">
        <f ca="1">IFERROR(__xludf.DUMMYFUNCTION("IMPORTRANGE(""https://docs.google.com/spreadsheets/d/1MeEWN-I1oV_STSDYn1IFDPWt_1FKiwhDph83XaGc0o0/edit?usp=sharing"",""งบพรบ!FW83"")"),0)</f>
        <v>0</v>
      </c>
      <c r="N410" s="93">
        <f ca="1">IFERROR(__xludf.DUMMYFUNCTION("IMPORTRANGE(""https://docs.google.com/spreadsheets/d/1MeEWN-I1oV_STSDYn1IFDPWt_1FKiwhDph83XaGc0o0/edit?usp=sharing"",""งบพรบ!FY83"")"),0)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79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0">L419+L444+L467+L502+L523+L544+L629+L655+L685+L737+L754+L770+L786+L805</f>
        <v>350883</v>
      </c>
      <c r="M414" s="553">
        <f t="shared" ca="1" si="180"/>
        <v>350883</v>
      </c>
      <c r="N414" s="553">
        <f t="shared" si="180"/>
        <v>310668.5</v>
      </c>
      <c r="O414" s="553">
        <f ca="1">IF(L414&gt;0,N414*100/L414,0)</f>
        <v>88.539057178603699</v>
      </c>
      <c r="P414" s="553">
        <f ca="1">IF(M414&gt;0,N414*100/M414,0)</f>
        <v>88.539057178603699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1">I433</f>
        <v>10</v>
      </c>
      <c r="J417" s="569">
        <f t="shared" ca="1" si="181"/>
        <v>10</v>
      </c>
      <c r="K417" s="570">
        <f t="shared" ref="K417:K418" ca="1" si="182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1"/>
        <v>1</v>
      </c>
      <c r="J418" s="569">
        <f t="shared" si="181"/>
        <v>1</v>
      </c>
      <c r="K418" s="570">
        <f t="shared" ca="1" si="182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3">L420+L421</f>
        <v>54560</v>
      </c>
      <c r="M419" s="155">
        <f t="shared" ca="1" si="183"/>
        <v>54560</v>
      </c>
      <c r="N419" s="155">
        <f t="shared" si="183"/>
        <v>48720</v>
      </c>
      <c r="O419" s="155">
        <f t="shared" ref="O419:O424" ca="1" si="184">IF(L419&gt;0,N419*100/L419,0)</f>
        <v>89.296187683284458</v>
      </c>
      <c r="P419" s="155">
        <f t="shared" ref="P419:P424" ca="1" si="185">IF(M419&gt;0,N419*100/M419,0)</f>
        <v>89.296187683284458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6"/>
        <v>54560</v>
      </c>
      <c r="M421" s="93">
        <f t="shared" ca="1" si="186"/>
        <v>54560</v>
      </c>
      <c r="N421" s="93">
        <f t="shared" si="186"/>
        <v>48720</v>
      </c>
      <c r="O421" s="93">
        <f t="shared" ca="1" si="184"/>
        <v>89.296187683284458</v>
      </c>
      <c r="P421" s="93">
        <f t="shared" ca="1" si="185"/>
        <v>89.296187683284458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54560</v>
      </c>
      <c r="M422" s="498">
        <f t="shared" ca="1" si="187"/>
        <v>54560</v>
      </c>
      <c r="N422" s="498">
        <f t="shared" si="187"/>
        <v>48720</v>
      </c>
      <c r="O422" s="498">
        <f t="shared" ca="1" si="184"/>
        <v>89.296187683284458</v>
      </c>
      <c r="P422" s="498">
        <f t="shared" ca="1" si="185"/>
        <v>89.296187683284458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IFERROR(__xludf.DUMMYFUNCTION("IMPORTRANGE(""https://docs.google.com/spreadsheets/d/1QqKyyYR6Q21VydFLVH3TRQUabQu_ym0Zz7PgGX0-kHA/edit?usp=sharing"",""แผน!EY83"")"),54560)</f>
        <v>54560</v>
      </c>
      <c r="M424" s="93">
        <f ca="1">L424</f>
        <v>54560</v>
      </c>
      <c r="N424" s="93">
        <f>N425+N426+N427+N428</f>
        <v>48720</v>
      </c>
      <c r="O424" s="93">
        <f t="shared" ca="1" si="184"/>
        <v>89.296187683284458</v>
      </c>
      <c r="P424" s="93">
        <f t="shared" ca="1" si="185"/>
        <v>89.296187683284458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24300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24420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IFERROR(__xludf.DUMMYFUNCTION("IMPORTRANGE(""https://docs.google.com/spreadsheets/d/1QqKyyYR6Q21VydFLVH3TRQUabQu_ym0Zz7PgGX0-kHA/edit?usp=sharing"",""แผน!FB83"")"),0)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10</v>
      </c>
      <c r="J433" s="680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2">I438+I440</f>
        <v>1</v>
      </c>
      <c r="J434" s="680">
        <f t="shared" si="192"/>
        <v>1</v>
      </c>
      <c r="K434" s="195">
        <f t="shared" ca="1" si="191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IFERROR(__xludf.DUMMYFUNCTION("IMPORTRANGE(""https://docs.google.com/spreadsheets/d/1QqKyyYR6Q21VydFLVH3TRQUabQu_ym0Zz7PgGX0-kHA/edit?usp=sharing"",""แผน!FC83"")"),10)</f>
        <v>10</v>
      </c>
      <c r="J435" s="583">
        <v>10</v>
      </c>
      <c r="K435" s="498">
        <f t="shared" ca="1" si="191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IFERROR(__xludf.DUMMYFUNCTION("IMPORTRANGE(""https://docs.google.com/spreadsheets/d/1QqKyyYR6Q21VydFLVH3TRQUabQu_ym0Zz7PgGX0-kHA/edit?usp=sharing"",""แผน!FD83"")"),0)</f>
        <v>0</v>
      </c>
      <c r="J437" s="583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IFERROR(__xludf.DUMMYFUNCTION("IMPORTRANGE(""https://docs.google.com/spreadsheets/d/1QqKyyYR6Q21VydFLVH3TRQUabQu_ym0Zz7PgGX0-kHA/edit?usp=sharing"",""แผน!FE83"")"),0)</f>
        <v>0</v>
      </c>
      <c r="J438" s="215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IFERROR(__xludf.DUMMYFUNCTION("IMPORTRANGE(""https://docs.google.com/spreadsheets/d/1QqKyyYR6Q21VydFLVH3TRQUabQu_ym0Zz7PgGX0-kHA/edit?usp=sharing"",""แผน!FF83"")"),10)</f>
        <v>10</v>
      </c>
      <c r="J439" s="583">
        <v>10</v>
      </c>
      <c r="K439" s="498">
        <f t="shared" ca="1" si="193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IFERROR(__xludf.DUMMYFUNCTION("IMPORTRANGE(""https://docs.google.com/spreadsheets/d/1QqKyyYR6Q21VydFLVH3TRQUabQu_ym0Zz7PgGX0-kHA/edit?usp=sharing"",""แผน!FG83"")"),1)</f>
        <v>1</v>
      </c>
      <c r="J440" s="215">
        <v>1</v>
      </c>
      <c r="K440" s="498">
        <f t="shared" ca="1" si="193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IFERROR(__xludf.DUMMYFUNCTION("IMPORTRANGE(""https://docs.google.com/spreadsheets/d/1QqKyyYR6Q21VydFLVH3TRQUabQu_ym0Zz7PgGX0-kHA/edit?usp=sharing"",""แผน!FH83"")"),0)</f>
        <v>0</v>
      </c>
      <c r="J441" s="270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4">I460</f>
        <v>20</v>
      </c>
      <c r="J442" s="589">
        <f t="shared" si="194"/>
        <v>20</v>
      </c>
      <c r="K442" s="590">
        <f t="shared" ca="1" si="193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5">I462</f>
        <v>40</v>
      </c>
      <c r="J443" s="569">
        <f t="shared" si="195"/>
        <v>40</v>
      </c>
      <c r="K443" s="570">
        <f t="shared" ca="1" si="193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6">L445+L446</f>
        <v>109560</v>
      </c>
      <c r="M444" s="195">
        <f t="shared" ca="1" si="196"/>
        <v>109560</v>
      </c>
      <c r="N444" s="195">
        <f t="shared" si="196"/>
        <v>103070</v>
      </c>
      <c r="O444" s="195">
        <f t="shared" ref="O444:O449" ca="1" si="197">IF(L444&gt;0,N444*100/L444,0)</f>
        <v>94.07630522088354</v>
      </c>
      <c r="P444" s="195">
        <f t="shared" ref="P444:P449" ca="1" si="198">IF(M444&gt;0,N444*100/M444,0)</f>
        <v>94.07630522088354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199"/>
        <v>109560</v>
      </c>
      <c r="M446" s="93">
        <f t="shared" ca="1" si="199"/>
        <v>109560</v>
      </c>
      <c r="N446" s="93">
        <f t="shared" si="199"/>
        <v>103070</v>
      </c>
      <c r="O446" s="93">
        <f t="shared" ca="1" si="197"/>
        <v>94.07630522088354</v>
      </c>
      <c r="P446" s="93">
        <f t="shared" ca="1" si="198"/>
        <v>94.07630522088354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109560</v>
      </c>
      <c r="M447" s="498">
        <f t="shared" ca="1" si="200"/>
        <v>109560</v>
      </c>
      <c r="N447" s="498">
        <f t="shared" si="200"/>
        <v>103070</v>
      </c>
      <c r="O447" s="498">
        <f t="shared" ca="1" si="197"/>
        <v>94.07630522088354</v>
      </c>
      <c r="P447" s="498">
        <f t="shared" ca="1" si="198"/>
        <v>94.07630522088354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IFERROR(__xludf.DUMMYFUNCTION("IMPORTRANGE(""https://docs.google.com/spreadsheets/d/1QqKyyYR6Q21VydFLVH3TRQUabQu_ym0Zz7PgGX0-kHA/edit?usp=sharing"",""แผน!FJ83"")"),109560)</f>
        <v>109560</v>
      </c>
      <c r="M449" s="93">
        <f ca="1">L449</f>
        <v>109560</v>
      </c>
      <c r="N449" s="93">
        <f>N450+N451+N452+N453</f>
        <v>103070</v>
      </c>
      <c r="O449" s="93">
        <f t="shared" ca="1" si="197"/>
        <v>94.07630522088354</v>
      </c>
      <c r="P449" s="93">
        <f t="shared" ca="1" si="198"/>
        <v>94.07630522088354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29600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54000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19470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IFERROR(__xludf.DUMMYFUNCTION("IMPORTRANGE(""https://docs.google.com/spreadsheets/d/1QqKyyYR6Q21VydFLVH3TRQUabQu_ym0Zz7PgGX0-kHA/edit?usp=sharing"",""แผน!FM83"")"),0)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IFERROR(__xludf.DUMMYFUNCTION("IMPORTRANGE(""https://docs.google.com/spreadsheets/d/1QqKyyYR6Q21VydFLVH3TRQUabQu_ym0Zz7PgGX0-kHA/edit?usp=sharing"",""แผน!FN83"")"),20)</f>
        <v>20</v>
      </c>
      <c r="J460" s="215">
        <v>20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IFERROR(__xludf.DUMMYFUNCTION("IMPORTRANGE(""https://docs.google.com/spreadsheets/d/1QqKyyYR6Q21VydFLVH3TRQUabQu_ym0Zz7PgGX0-kHA/edit?usp=sharing"",""แผน!FO83"")"),40)</f>
        <v>40</v>
      </c>
      <c r="J462" s="215">
        <v>40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IFERROR(__xludf.DUMMYFUNCTION("IMPORTRANGE(""https://docs.google.com/spreadsheets/d/1QqKyyYR6Q21VydFLVH3TRQUabQu_ym0Zz7PgGX0-kHA/edit?usp=sharing"",""แผน!FO83"")"),40)</f>
        <v>40</v>
      </c>
      <c r="J463" s="215">
        <v>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IFERROR(__xludf.DUMMYFUNCTION("IMPORTRANGE(""https://docs.google.com/spreadsheets/d/1QqKyyYR6Q21VydFLVH3TRQUabQu_ym0Zz7PgGX0-kHA/edit?usp=sharing"",""แผน!FN83"")"),20)</f>
        <v>20</v>
      </c>
      <c r="J464" s="215">
        <v>20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IFERROR(__xludf.DUMMYFUNCTION("IMPORTRANGE(""https://docs.google.com/spreadsheets/d/1QqKyyYR6Q21VydFLVH3TRQUabQu_ym0Zz7PgGX0-kHA/edit?usp=sharing"",""แผน!FX83"")"),11)</f>
        <v>11</v>
      </c>
      <c r="J465" s="589">
        <f>J485+J489+J492</f>
        <v>11</v>
      </c>
      <c r="K465" s="590">
        <f t="shared" ref="K465:K466" ca="1" si="204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IFERROR(__xludf.DUMMYFUNCTION("IMPORTRANGE(""https://docs.google.com/spreadsheets/d/1QqKyyYR6Q21VydFLVH3TRQUabQu_ym0Zz7PgGX0-kHA/edit?usp=sharing"",""แผน!FW83"")"),100)</f>
        <v>100</v>
      </c>
      <c r="J466" s="569">
        <f>J495+J498</f>
        <v>100</v>
      </c>
      <c r="K466" s="570">
        <f t="shared" ca="1" si="204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5">L468+L469</f>
        <v>111463</v>
      </c>
      <c r="M467" s="195">
        <f t="shared" ca="1" si="205"/>
        <v>111463</v>
      </c>
      <c r="N467" s="195">
        <f t="shared" si="205"/>
        <v>106530</v>
      </c>
      <c r="O467" s="195">
        <f t="shared" ref="O467:O472" ca="1" si="206">IF(L467&gt;0,N467*100/L467,0)</f>
        <v>95.574316140782145</v>
      </c>
      <c r="P467" s="195">
        <f t="shared" ref="P467:P472" ca="1" si="207">IF(M467&gt;0,N467*100/M467,0)</f>
        <v>95.574316140782145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8"/>
        <v>111463</v>
      </c>
      <c r="M469" s="93">
        <f t="shared" ca="1" si="208"/>
        <v>111463</v>
      </c>
      <c r="N469" s="93">
        <f t="shared" si="208"/>
        <v>106530</v>
      </c>
      <c r="O469" s="93">
        <f t="shared" ca="1" si="206"/>
        <v>95.574316140782145</v>
      </c>
      <c r="P469" s="93">
        <f t="shared" ca="1" si="207"/>
        <v>95.574316140782145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111463</v>
      </c>
      <c r="M470" s="498">
        <f t="shared" ca="1" si="209"/>
        <v>111463</v>
      </c>
      <c r="N470" s="498">
        <f t="shared" si="209"/>
        <v>106530</v>
      </c>
      <c r="O470" s="498">
        <f t="shared" ca="1" si="206"/>
        <v>95.574316140782145</v>
      </c>
      <c r="P470" s="498">
        <f t="shared" ca="1" si="207"/>
        <v>95.574316140782145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IFERROR(__xludf.DUMMYFUNCTION("IMPORTRANGE(""https://docs.google.com/spreadsheets/d/1QqKyyYR6Q21VydFLVH3TRQUabQu_ym0Zz7PgGX0-kHA/edit?usp=sharing"",""แผน!FS83"")"),111463)</f>
        <v>111463</v>
      </c>
      <c r="M472" s="93">
        <f ca="1">L472</f>
        <v>111463</v>
      </c>
      <c r="N472" s="93">
        <f>N473+N474+N475+N476</f>
        <v>106530</v>
      </c>
      <c r="O472" s="93">
        <f t="shared" ca="1" si="206"/>
        <v>95.574316140782145</v>
      </c>
      <c r="P472" s="93">
        <f t="shared" ca="1" si="207"/>
        <v>95.574316140782145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13040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66000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27490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IFERROR(__xludf.DUMMYFUNCTION("IMPORTRANGE(""https://docs.google.com/spreadsheets/d/1QqKyyYR6Q21VydFLVH3TRQUabQu_ym0Zz7PgGX0-kHA/edit?usp=sharing"",""แผน!FV83"")"),0)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IFERROR(__xludf.DUMMYFUNCTION("IMPORTRANGE(""https://docs.google.com/spreadsheets/d/1QqKyyYR6Q21VydFLVH3TRQUabQu_ym0Zz7PgGX0-kHA/edit?usp=sharing"",""แผน!FY83"")"),90)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9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IFERROR(__xludf.DUMMYFUNCTION("IMPORTRANGE(""https://docs.google.com/spreadsheets/d/1QqKyyYR6Q21VydFLVH3TRQUabQu_ym0Zz7PgGX0-kHA/edit?usp=sharing"",""แผน!FZ83"")"),9)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IFERROR(__xludf.DUMMYFUNCTION("IMPORTRANGE(""https://docs.google.com/spreadsheets/d/1QqKyyYR6Q21VydFLVH3TRQUabQu_ym0Zz7PgGX0-kHA/edit?usp=sharing"",""แผน!GA83"")"),10)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IFERROR(__xludf.DUMMYFUNCTION("IMPORTRANGE(""https://docs.google.com/spreadsheets/d/1QqKyyYR6Q21VydFLVH3TRQUabQu_ym0Zz7PgGX0-kHA/edit?usp=sharing"",""แผน!GB83"")"),1)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IFERROR(__xludf.DUMMYFUNCTION("IMPORTRANGE(""https://docs.google.com/spreadsheets/d/1QqKyyYR6Q21VydFLVH3TRQUabQu_ym0Zz7PgGX0-kHA/edit?usp=sharing"",""แผน!GC83"")"),1)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IFERROR(__xludf.DUMMYFUNCTION("IMPORTRANGE(""https://docs.google.com/spreadsheets/d/1QqKyyYR6Q21VydFLVH3TRQUabQu_ym0Zz7PgGX0-kHA/edit?usp=sharing"",""แผน!FY83"")"),90)</f>
        <v>90</v>
      </c>
      <c r="J495" s="215">
        <v>90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IFERROR(__xludf.DUMMYFUNCTION("IMPORTRANGE(""https://docs.google.com/spreadsheets/d/1QqKyyYR6Q21VydFLVH3TRQUabQu_ym0Zz7PgGX0-kHA/edit?usp=sharing"",""แผน!GA83"")"),10)</f>
        <v>10</v>
      </c>
      <c r="J498" s="215">
        <v>10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3">J516</f>
        <v>0</v>
      </c>
      <c r="K500" s="633">
        <f t="shared" ref="K500:K501" si="214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3"/>
        <v>0</v>
      </c>
      <c r="K501" s="642">
        <f t="shared" si="214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5">L503+L504</f>
        <v>0</v>
      </c>
      <c r="M502" s="646">
        <f t="shared" si="215"/>
        <v>0</v>
      </c>
      <c r="N502" s="646">
        <f t="shared" si="215"/>
        <v>0</v>
      </c>
      <c r="O502" s="646">
        <f t="shared" ref="O502:O507" si="216">IF(L502&gt;0,N502*100/L502,0)</f>
        <v>0</v>
      </c>
      <c r="P502" s="646">
        <f t="shared" ref="P502:P507" si="217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3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4">I537</f>
        <v>0</v>
      </c>
      <c r="J522" s="707">
        <f t="shared" ca="1" si="224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0</v>
      </c>
      <c r="M526" s="498">
        <f t="shared" si="229"/>
        <v>0</v>
      </c>
      <c r="N526" s="498">
        <f t="shared" si="229"/>
        <v>0</v>
      </c>
      <c r="O526" s="498">
        <f t="shared" ca="1" si="226"/>
        <v>0</v>
      </c>
      <c r="P526" s="498">
        <f t="shared" si="227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IFERROR(__xludf.DUMMYFUNCTION("IMPORTRANGE(""https://docs.google.com/spreadsheets/d/1QqKyyYR6Q21VydFLVH3TRQUabQu_ym0Zz7PgGX0-kHA/edit?usp=sharing"",""แผน!GQ83"")"),0)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IFERROR(__xludf.DUMMYFUNCTION("IMPORTRANGE(""https://docs.google.com/spreadsheets/d/1QqKyyYR6Q21VydFLVH3TRQUabQu_ym0Zz7PgGX0-kHA/edit?usp=sharing"",""แผน!GT83"")"),0)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IFERROR(__xludf.DUMMYFUNCTION("IMPORTRANGE(""https://docs.google.com/spreadsheets/d/1QqKyyYR6Q21VydFLVH3TRQUabQu_ym0Zz7PgGX0-kHA/edit?usp=sharing"",""แผน!GU83"")"),0)</f>
        <v>0</v>
      </c>
      <c r="J537" s="680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IFERROR(__xludf.DUMMYFUNCTION("IMPORTRANGE(""https://docs.google.com/spreadsheets/d/1QqKyyYR6Q21VydFLVH3TRQUabQu_ym0Zz7PgGX0-kHA/edit?usp=sharing"",""แผน!GV83"")"),0)</f>
        <v>0</v>
      </c>
      <c r="J538" s="215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IFERROR(__xludf.DUMMYFUNCTION("IMPORTRANGE(""https://docs.google.com/spreadsheets/d/1QqKyyYR6Q21VydFLVH3TRQUabQu_ym0Zz7PgGX0-kHA/edit?usp=sharing"",""แผน!GW83"")"),0)</f>
        <v>0</v>
      </c>
      <c r="J539" s="215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IFERROR(__xludf.DUMMYFUNCTION("IMPORTRANGE(""https://docs.google.com/spreadsheets/d/1QqKyyYR6Q21VydFLVH3TRQUabQu_ym0Zz7PgGX0-kHA/edit?usp=sharing"",""แผน!GX83"")"),0)</f>
        <v>0</v>
      </c>
      <c r="J540" s="215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IFERROR(__xludf.DUMMYFUNCTION("IMPORTRANGE(""https://docs.google.com/spreadsheets/d/1QqKyyYR6Q21VydFLVH3TRQUabQu_ym0Zz7PgGX0-kHA/edit?usp=sharing"",""แผน!GY83"")"),0)</f>
        <v>0</v>
      </c>
      <c r="J541" s="215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IFERROR(__xludf.DUMMYFUNCTION("IMPORTRANGE(""https://docs.google.com/spreadsheets/d/1QqKyyYR6Q21VydFLVH3TRQUabQu_ym0Zz7PgGX0-kHA/edit?usp=sharing"",""แผน!GZ83"")"),0)</f>
        <v>0</v>
      </c>
      <c r="J542" s="215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4">I559</f>
        <v>0</v>
      </c>
      <c r="J543" s="686">
        <f t="shared" si="234"/>
        <v>0</v>
      </c>
      <c r="K543" s="687">
        <f t="shared" ca="1" si="233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5">L545+L546</f>
        <v>75300</v>
      </c>
      <c r="M544" s="155">
        <f t="shared" ca="1" si="235"/>
        <v>75300</v>
      </c>
      <c r="N544" s="155">
        <f t="shared" si="235"/>
        <v>52348.5</v>
      </c>
      <c r="O544" s="155">
        <f t="shared" ref="O544:O549" ca="1" si="236">IF(L544&gt;0,N544*100/L544,0)</f>
        <v>69.519920318725099</v>
      </c>
      <c r="P544" s="155">
        <f t="shared" ref="P544:P549" ca="1" si="237">IF(M544&gt;0,N544*100/M544,0)</f>
        <v>69.519920318725099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8"/>
        <v>75300</v>
      </c>
      <c r="M546" s="93">
        <f t="shared" ca="1" si="239"/>
        <v>75300</v>
      </c>
      <c r="N546" s="93">
        <f t="shared" si="239"/>
        <v>52348.5</v>
      </c>
      <c r="O546" s="93">
        <f t="shared" ca="1" si="236"/>
        <v>69.519920318725099</v>
      </c>
      <c r="P546" s="93">
        <f t="shared" ca="1" si="237"/>
        <v>69.519920318725099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75300</v>
      </c>
      <c r="M547" s="498">
        <f t="shared" ca="1" si="240"/>
        <v>75300</v>
      </c>
      <c r="N547" s="498">
        <f t="shared" si="240"/>
        <v>52348.5</v>
      </c>
      <c r="O547" s="498">
        <f t="shared" ca="1" si="236"/>
        <v>69.519920318725099</v>
      </c>
      <c r="P547" s="498">
        <f t="shared" ca="1" si="237"/>
        <v>69.519920318725099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IFERROR(__xludf.DUMMYFUNCTION("IMPORTRANGE(""https://docs.google.com/spreadsheets/d/1QqKyyYR6Q21VydFLVH3TRQUabQu_ym0Zz7PgGX0-kHA/edit?usp=sharing"",""แผน!HB83"")"),75300)</f>
        <v>75300</v>
      </c>
      <c r="M549" s="93">
        <f ca="1">L549</f>
        <v>75300</v>
      </c>
      <c r="N549" s="93">
        <f>N550+N551+N552+N553+N554</f>
        <v>52348.5</v>
      </c>
      <c r="O549" s="93">
        <f t="shared" ca="1" si="236"/>
        <v>69.519920318725099</v>
      </c>
      <c r="P549" s="93">
        <f t="shared" ca="1" si="237"/>
        <v>69.519920318725099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52348.5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IFERROR(__xludf.DUMMYFUNCTION("IMPORTRANGE(""https://docs.google.com/spreadsheets/d/1QqKyyYR6Q21VydFLVH3TRQUabQu_ym0Zz7PgGX0-kHA/edit?usp=sharing"",""แผน!HF83"")"),0)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 hidden="1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 hidden="1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4">I576</f>
        <v>0</v>
      </c>
      <c r="J559" s="707">
        <f t="shared" si="244"/>
        <v>0</v>
      </c>
      <c r="K559" s="676">
        <f t="shared" ref="K559:K561" ca="1" si="245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 hidden="1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IFERROR(__xludf.DUMMYFUNCTION("IMPORTRANGE(""https://docs.google.com/spreadsheets/d/1QqKyyYR6Q21VydFLVH3TRQUabQu_ym0Zz7PgGX0-kHA/edit?usp=sharing"",""แผน!HH83"")"),0)</f>
        <v>0</v>
      </c>
      <c r="J560" s="193">
        <f t="shared" ref="J560:J561" si="246">J562+J564+J566</f>
        <v>0</v>
      </c>
      <c r="K560" s="412">
        <f t="shared" ca="1" si="245"/>
        <v>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 hidden="1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IFERROR(__xludf.DUMMYFUNCTION("IMPORTRANGE(""https://docs.google.com/spreadsheets/d/1QqKyyYR6Q21VydFLVH3TRQUabQu_ym0Zz7PgGX0-kHA/edit?usp=sharing"",""แผน!HG83"")"),0)</f>
        <v>0</v>
      </c>
      <c r="J561" s="193">
        <f t="shared" si="246"/>
        <v>0</v>
      </c>
      <c r="K561" s="412">
        <f t="shared" ca="1" si="245"/>
        <v>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 hidden="1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 hidden="1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 hidden="1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 hidden="1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 hidden="1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 hidden="1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 hidden="1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IFERROR(__xludf.DUMMYFUNCTION("IMPORTRANGE(""https://docs.google.com/spreadsheets/d/1QqKyyYR6Q21VydFLVH3TRQUabQu_ym0Zz7PgGX0-kHA/edit?usp=sharing"",""แผน!HH83"")"),0)</f>
        <v>0</v>
      </c>
      <c r="J568" s="680">
        <f t="shared" ref="J568:J569" si="247">J570+J572+J574</f>
        <v>0</v>
      </c>
      <c r="K568" s="412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 hidden="1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IFERROR(__xludf.DUMMYFUNCTION("IMPORTRANGE(""https://docs.google.com/spreadsheets/d/1QqKyyYR6Q21VydFLVH3TRQUabQu_ym0Zz7PgGX0-kHA/edit?usp=sharing"",""แผน!HG83"")"),0)</f>
        <v>0</v>
      </c>
      <c r="J569" s="680">
        <f t="shared" si="247"/>
        <v>0</v>
      </c>
      <c r="K569" s="412">
        <f t="shared" ca="1" si="248"/>
        <v>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 hidden="1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 hidden="1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 hidden="1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 hidden="1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 hidden="1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 hidden="1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 hidden="1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IFERROR(__xludf.DUMMYFUNCTION("IMPORTRANGE(""https://docs.google.com/spreadsheets/d/1QqKyyYR6Q21VydFLVH3TRQUabQu_ym0Zz7PgGX0-kHA/edit?usp=sharing"",""แผน!HH83"")"),0)</f>
        <v>0</v>
      </c>
      <c r="J576" s="680">
        <f t="shared" ref="J576:J577" si="249">J578+J580+J582+J588+J590</f>
        <v>0</v>
      </c>
      <c r="K576" s="412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 hidden="1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IFERROR(__xludf.DUMMYFUNCTION("IMPORTRANGE(""https://docs.google.com/spreadsheets/d/1QqKyyYR6Q21VydFLVH3TRQUabQu_ym0Zz7PgGX0-kHA/edit?usp=sharing"",""แผน!HG83"")"),0)</f>
        <v>0</v>
      </c>
      <c r="J577" s="680">
        <f t="shared" si="249"/>
        <v>0</v>
      </c>
      <c r="K577" s="412">
        <f t="shared" ca="1" si="250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 hidden="1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 hidden="1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 hidden="1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 hidden="1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 hidden="1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1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 hidden="1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1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 hidden="1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 hidden="1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 hidden="1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 hidden="1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 hidden="1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 hidden="1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 hidden="1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 hidden="1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2">I593</f>
        <v>428.41</v>
      </c>
      <c r="J592" s="707">
        <f t="shared" si="252"/>
        <v>0</v>
      </c>
      <c r="K592" s="676">
        <f t="shared" ref="K592:K594" ca="1" si="253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IFERROR(__xludf.DUMMYFUNCTION("IMPORTRANGE(""https://docs.google.com/spreadsheets/d/1QqKyyYR6Q21VydFLVH3TRQUabQu_ym0Zz7PgGX0-kHA/edit?usp=sharing"",""แผน!HJ83"")"),428.41)</f>
        <v>428.41</v>
      </c>
      <c r="J593" s="193">
        <f t="shared" ref="J593:J594" si="254">J595+J603+J609</f>
        <v>0</v>
      </c>
      <c r="K593" s="412">
        <f t="shared" ca="1" si="253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IFERROR(__xludf.DUMMYFUNCTION("IMPORTRANGE(""https://docs.google.com/spreadsheets/d/1QqKyyYR6Q21VydFLVH3TRQUabQu_ym0Zz7PgGX0-kHA/edit?usp=sharing"",""แผน!HI83"")"),31)</f>
        <v>31</v>
      </c>
      <c r="J594" s="193">
        <f t="shared" si="254"/>
        <v>0</v>
      </c>
      <c r="K594" s="412">
        <f t="shared" ca="1" si="253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7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8">J614+J616</f>
        <v>0</v>
      </c>
      <c r="K612" s="716">
        <f t="shared" si="257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8"/>
        <v>0</v>
      </c>
      <c r="K613" s="716">
        <f t="shared" si="257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IFERROR(__xludf.DUMMYFUNCTION("IMPORTRANGE(""https://docs.google.com/spreadsheets/d/1QqKyyYR6Q21VydFLVH3TRQUabQu_ym0Zz7PgGX0-kHA/edit?usp=sharing"",""แผน!HL83"")"),0)</f>
        <v>0</v>
      </c>
      <c r="J620" s="727">
        <f t="shared" ref="J620:J621" si="259">J622+J624+J626</f>
        <v>0</v>
      </c>
      <c r="K620" s="728">
        <f t="shared" ref="K620:K621" ca="1" si="260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IFERROR(__xludf.DUMMYFUNCTION("IMPORTRANGE(""https://docs.google.com/spreadsheets/d/1QqKyyYR6Q21VydFLVH3TRQUabQu_ym0Zz7PgGX0-kHA/edit?usp=sharing"",""แผน!HK83"")"),0)</f>
        <v>0</v>
      </c>
      <c r="J621" s="727">
        <f t="shared" si="259"/>
        <v>0</v>
      </c>
      <c r="K621" s="728">
        <f t="shared" ca="1" si="260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1">I651</f>
        <v>0</v>
      </c>
      <c r="J628" s="740">
        <f t="shared" ca="1" si="261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0</v>
      </c>
      <c r="M632" s="498">
        <f t="shared" si="266"/>
        <v>0</v>
      </c>
      <c r="N632" s="498">
        <f t="shared" si="266"/>
        <v>0</v>
      </c>
      <c r="O632" s="498">
        <f t="shared" ca="1" si="263"/>
        <v>0</v>
      </c>
      <c r="P632" s="498">
        <f t="shared" si="264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IFERROR(__xludf.DUMMYFUNCTION("IMPORTRANGE(""https://docs.google.com/spreadsheets/d/1QqKyyYR6Q21VydFLVH3TRQUabQu_ym0Zz7PgGX0-kHA/edit?usp=sharing"",""แผน!HN83"")"),0)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IFERROR(__xludf.DUMMYFUNCTION("IMPORTRANGE(""https://docs.google.com/spreadsheets/d/1QqKyyYR6Q21VydFLVH3TRQUabQu_ym0Zz7PgGX0-kHA/edit?usp=sharing"",""แผน!HQ83"")"),0)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IFERROR(__xludf.DUMMYFUNCTION("IMPORTRANGE(""https://docs.google.com/spreadsheets/d/1QqKyyYR6Q21VydFLVH3TRQUabQu_ym0Zz7PgGX0-kHA/edit?usp=sharing"",""แผน!HR83"")"),0)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IFERROR(__xludf.DUMMYFUNCTION("IMPORTRANGE(""https://docs.google.com/spreadsheets/d/1QqKyyYR6Q21VydFLVH3TRQUabQu_ym0Zz7PgGX0-kHA/edit?usp=sharing"",""แผน!HR83"")"),0)</f>
        <v>0</v>
      </c>
      <c r="J644" s="215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IFERROR(__xludf.DUMMYFUNCTION("IMPORTRANGE(""https://docs.google.com/spreadsheets/d/1XWAQStnk-4SwqDmLtmXYiTMKHgktTP8We1SCoS47DrQ/edit?usp=sharing"",""จัดที่ดิน!AS83"")"),0)</f>
        <v>0</v>
      </c>
      <c r="K645" s="163">
        <f t="shared" si="270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IFERROR(__xludf.DUMMYFUNCTION("IMPORTRANGE(""https://docs.google.com/spreadsheets/d/1XWAQStnk-4SwqDmLtmXYiTMKHgktTP8We1SCoS47DrQ/edit?usp=sharing"",""จัดที่ดิน!AT83"")"),0)</f>
        <v>0</v>
      </c>
      <c r="K646" s="498">
        <f t="shared" si="270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IFERROR(__xludf.DUMMYFUNCTION("IMPORTRANGE(""https://docs.google.com/spreadsheets/d/1QqKyyYR6Q21VydFLVH3TRQUabQu_ym0Zz7PgGX0-kHA/edit?usp=sharing"",""แผน!HS83"")"),0)</f>
        <v>0</v>
      </c>
      <c r="J647" s="270">
        <f ca="1">IFERROR(__xludf.DUMMYFUNCTION("IMPORTRANGE(""https://docs.google.com/spreadsheets/d/1XWAQStnk-4SwqDmLtmXYiTMKHgktTP8We1SCoS47DrQ/edit?usp=sharing"",""จัดที่ดิน!AU83"")"),0)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IFERROR(__xludf.DUMMYFUNCTION("IMPORTRANGE(""https://docs.google.com/spreadsheets/d/1XWAQStnk-4SwqDmLtmXYiTMKHgktTP8We1SCoS47DrQ/edit?usp=sharing"",""จัดที่ดิน!AV83"")"),0)</f>
        <v>0</v>
      </c>
      <c r="K648" s="498">
        <f t="shared" si="270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IFERROR(__xludf.DUMMYFUNCTION("IMPORTRANGE(""https://docs.google.com/spreadsheets/d/1QqKyyYR6Q21VydFLVH3TRQUabQu_ym0Zz7PgGX0-kHA/edit?usp=sharing"",""แผน!HS83"")"),0)</f>
        <v>0</v>
      </c>
      <c r="J649" s="270">
        <f ca="1">IFERROR(__xludf.DUMMYFUNCTION("IMPORTRANGE(""https://docs.google.com/spreadsheets/d/1XWAQStnk-4SwqDmLtmXYiTMKHgktTP8We1SCoS47DrQ/edit?usp=sharing"",""จัดที่ดิน!AW83"")"),0)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IFERROR(__xludf.DUMMYFUNCTION("IMPORTRANGE(""https://docs.google.com/spreadsheets/d/1XWAQStnk-4SwqDmLtmXYiTMKHgktTP8We1SCoS47DrQ/edit?usp=sharing"",""จัดที่ดิน!AX83"")"),0)</f>
        <v>0</v>
      </c>
      <c r="K650" s="498">
        <f t="shared" si="270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IFERROR(__xludf.DUMMYFUNCTION("IMPORTRANGE(""https://docs.google.com/spreadsheets/d/1QqKyyYR6Q21VydFLVH3TRQUabQu_ym0Zz7PgGX0-kHA/edit?usp=sharing"",""แผน!HS83"")"),0)</f>
        <v>0</v>
      </c>
      <c r="J651" s="270">
        <f ca="1">IFERROR(__xludf.DUMMYFUNCTION("IMPORTRANGE(""https://docs.google.com/spreadsheets/d/1XWAQStnk-4SwqDmLtmXYiTMKHgktTP8We1SCoS47DrQ/edit?usp=sharing"",""จัดที่ดิน!AY83"")"),0)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IFERROR(__xludf.DUMMYFUNCTION("IMPORTRANGE(""https://docs.google.com/spreadsheets/d/1XWAQStnk-4SwqDmLtmXYiTMKHgktTP8We1SCoS47DrQ/edit?usp=sharing"",""จัดที่ดิน!AZ83"")"),0)</f>
        <v>0</v>
      </c>
      <c r="K652" s="506">
        <f t="shared" si="270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1">I669</f>
        <v>0</v>
      </c>
      <c r="J654" s="707">
        <f t="shared" si="271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0</v>
      </c>
      <c r="M658" s="498">
        <f t="shared" si="276"/>
        <v>0</v>
      </c>
      <c r="N658" s="498">
        <f t="shared" si="276"/>
        <v>0</v>
      </c>
      <c r="O658" s="498">
        <f t="shared" ca="1" si="273"/>
        <v>0</v>
      </c>
      <c r="P658" s="498">
        <f t="shared" si="274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IFERROR(__xludf.DUMMYFUNCTION("IMPORTRANGE(""https://docs.google.com/spreadsheets/d/1QqKyyYR6Q21VydFLVH3TRQUabQu_ym0Zz7PgGX0-kHA/edit?usp=sharing"",""แผน!HV83"")"),0)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IFERROR(__xludf.DUMMYFUNCTION("IMPORTRANGE(""https://docs.google.com/spreadsheets/d/1QqKyyYR6Q21VydFLVH3TRQUabQu_ym0Zz7PgGX0-kHA/edit?usp=sharing"",""แผน!IA83"")"),0)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IFERROR(__xludf.DUMMYFUNCTION("IMPORTRANGE(""https://docs.google.com/spreadsheets/d/1QqKyyYR6Q21VydFLVH3TRQUabQu_ym0Zz7PgGX0-kHA/edit?usp=sharing"",""แผน!HZ83"")"),0)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IFERROR(__xludf.DUMMYFUNCTION("IMPORTRANGE(""https://docs.google.com/spreadsheets/d/1QqKyyYR6Q21VydFLVH3TRQUabQu_ym0Zz7PgGX0-kHA/edit?usp=sharing"",""แผน!HZ83"")"),0)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0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IFERROR(__xludf.DUMMYFUNCTION("IMPORTRANGE(""https://docs.google.com/spreadsheets/d/1QqKyyYR6Q21VydFLVH3TRQUabQu_ym0Zz7PgGX0-kHA/edit?usp=sharing"",""แผน!IB83"")"),0)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0</v>
      </c>
      <c r="M688" s="498">
        <f t="shared" si="285"/>
        <v>0</v>
      </c>
      <c r="N688" s="498">
        <f t="shared" si="285"/>
        <v>0</v>
      </c>
      <c r="O688" s="498">
        <f t="shared" ca="1" si="282"/>
        <v>0</v>
      </c>
      <c r="P688" s="498">
        <f t="shared" si="283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IFERROR(__xludf.DUMMYFUNCTION("IMPORTRANGE(""https://docs.google.com/spreadsheets/d/1QqKyyYR6Q21VydFLVH3TRQUabQu_ym0Zz7PgGX0-kHA/edit?usp=sharing"",""แผน!HW83"")"),0)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IFERROR(__xludf.DUMMYFUNCTION("IMPORTRANGE(""https://docs.google.com/spreadsheets/d/1QqKyyYR6Q21VydFLVH3TRQUabQu_ym0Zz7PgGX0-kHA/edit?usp=sharing"",""แผน!IC83"")"),0)</f>
        <v>0</v>
      </c>
      <c r="J699" s="270">
        <f ca="1">IFERROR(__xludf.DUMMYFUNCTION("IMPORTRANGE(""https://docs.google.com/spreadsheets/d/1XWAQStnk-4SwqDmLtmXYiTMKHgktTP8We1SCoS47DrQ/edit?usp=sharing"",""จัดที่ดิน!BB83"")"),0)</f>
        <v>0</v>
      </c>
      <c r="K699" s="498">
        <f t="shared" ref="K699:K701" ca="1" si="289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IFERROR(__xludf.DUMMYFUNCTION("IMPORTRANGE(""https://docs.google.com/spreadsheets/d/1QqKyyYR6Q21VydFLVH3TRQUabQu_ym0Zz7PgGX0-kHA/edit?usp=sharing"",""แผน!ID83"")"),0)</f>
        <v>0</v>
      </c>
      <c r="J700" s="270">
        <f ca="1">IFERROR(__xludf.DUMMYFUNCTION("IMPORTRANGE(""https://docs.google.com/spreadsheets/d/1XWAQStnk-4SwqDmLtmXYiTMKHgktTP8We1SCoS47DrQ/edit?usp=sharing"",""จัดที่ดิน!BD83"")"),0)</f>
        <v>0</v>
      </c>
      <c r="K700" s="498">
        <f t="shared" ca="1" si="289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IFERROR(__xludf.DUMMYFUNCTION("IMPORTRANGE(""https://docs.google.com/spreadsheets/d/1QqKyyYR6Q21VydFLVH3TRQUabQu_ym0Zz7PgGX0-kHA/edit?usp=sharing"",""แผน!IE83"")"),0)</f>
        <v>0</v>
      </c>
      <c r="J701" s="680">
        <f>J704+J707</f>
        <v>0</v>
      </c>
      <c r="K701" s="195">
        <f t="shared" ca="1" si="289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IFERROR(__xludf.DUMMYFUNCTION("IMPORTRANGE(""https://docs.google.com/spreadsheets/d/1QqKyyYR6Q21VydFLVH3TRQUabQu_ym0Zz7PgGX0-kHA/edit?usp=sharing"",""แผน!IF83"")"),0)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IFERROR(__xludf.DUMMYFUNCTION("IMPORTRANGE(""https://docs.google.com/spreadsheets/d/1QqKyyYR6Q21VydFLVH3TRQUabQu_ym0Zz7PgGX0-kHA/edit?usp=sharing"",""แผน!IG83"")"),0)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IFERROR(__xludf.DUMMYFUNCTION("IMPORTRANGE(""https://docs.google.com/spreadsheets/d/1QqKyyYR6Q21VydFLVH3TRQUabQu_ym0Zz7PgGX0-kHA/edit?usp=sharing"",""แผน!IH83"")"),0)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IFERROR(__xludf.DUMMYFUNCTION("IMPORTRANGE(""https://docs.google.com/spreadsheets/d/1XWAQStnk-4SwqDmLtmXYiTMKHgktTP8We1SCoS47DrQ/edit?usp=sharing"",""จัดที่ดิน!BF83"")"),0)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IFERROR(__xludf.DUMMYFUNCTION("IMPORTRANGE(""https://docs.google.com/spreadsheets/d/1XWAQStnk-4SwqDmLtmXYiTMKHgktTP8We1SCoS47DrQ/edit?usp=sharing"",""จัดที่ดิน!BG83"")"),0)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IFERROR(__xludf.DUMMYFUNCTION("IMPORTRANGE(""https://docs.google.com/spreadsheets/d/1QqKyyYR6Q21VydFLVH3TRQUabQu_ym0Zz7PgGX0-kHA/edit?usp=sharing"",""แผน!II83"")"),0)</f>
        <v>0</v>
      </c>
      <c r="J720" s="270">
        <f ca="1">IFERROR(__xludf.DUMMYFUNCTION("IMPORTRANGE(""https://docs.google.com/spreadsheets/d/1XWAQStnk-4SwqDmLtmXYiTMKHgktTP8We1SCoS47DrQ/edit?usp=sharing"",""จัดที่ดิน!BH83"")"),0)</f>
        <v>0</v>
      </c>
      <c r="K720" s="498">
        <f t="shared" ref="K720:K723" ca="1" si="290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IFERROR(__xludf.DUMMYFUNCTION("IMPORTRANGE(""https://docs.google.com/spreadsheets/d/1QqKyyYR6Q21VydFLVH3TRQUabQu_ym0Zz7PgGX0-kHA/edit?usp=sharing"",""แผน!IJ83"")"),0)</f>
        <v>0</v>
      </c>
      <c r="J721" s="680">
        <f ca="1">J723+J726</f>
        <v>0</v>
      </c>
      <c r="K721" s="195">
        <f t="shared" ca="1" si="290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IFERROR(__xludf.DUMMYFUNCTION("IMPORTRANGE(""https://docs.google.com/spreadsheets/d/1QqKyyYR6Q21VydFLVH3TRQUabQu_ym0Zz7PgGX0-kHA/edit?usp=sharing"",""แผน!IK83"")"),0)</f>
        <v>0</v>
      </c>
      <c r="J722" s="680">
        <f ca="1">J725+J728</f>
        <v>0</v>
      </c>
      <c r="K722" s="195">
        <f t="shared" ca="1" si="290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IFERROR(__xludf.DUMMYFUNCTION("IMPORTRANGE(""https://docs.google.com/spreadsheets/d/1QqKyyYR6Q21VydFLVH3TRQUabQu_ym0Zz7PgGX0-kHA/edit?usp=sharing"",""แผน!IL83"")"),0)</f>
        <v>0</v>
      </c>
      <c r="J723" s="270">
        <f ca="1">IFERROR(__xludf.DUMMYFUNCTION("IMPORTRANGE(""https://docs.google.com/spreadsheets/d/1XWAQStnk-4SwqDmLtmXYiTMKHgktTP8We1SCoS47DrQ/edit?usp=sharing"",""จัดที่ดิน!BM83"")"),0)</f>
        <v>0</v>
      </c>
      <c r="K723" s="498">
        <f t="shared" ca="1" si="290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IFERROR(__xludf.DUMMYFUNCTION("IMPORTRANGE(""https://docs.google.com/spreadsheets/d/1XWAQStnk-4SwqDmLtmXYiTMKHgktTP8We1SCoS47DrQ/edit?usp=sharing"",""จัดที่ดิน!BN83"")"),0)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IFERROR(__xludf.DUMMYFUNCTION("IMPORTRANGE(""https://docs.google.com/spreadsheets/d/1QqKyyYR6Q21VydFLVH3TRQUabQu_ym0Zz7PgGX0-kHA/edit?usp=sharing"",""แผน!IM83"")"),0)</f>
        <v>0</v>
      </c>
      <c r="J725" s="270">
        <f ca="1">IFERROR(__xludf.DUMMYFUNCTION("IMPORTRANGE(""https://docs.google.com/spreadsheets/d/1XWAQStnk-4SwqDmLtmXYiTMKHgktTP8We1SCoS47DrQ/edit?usp=sharing"",""จัดที่ดิน!BO83"")"),0)</f>
        <v>0</v>
      </c>
      <c r="K725" s="498">
        <f t="shared" ref="K725:K726" ca="1" si="291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IFERROR(__xludf.DUMMYFUNCTION("IMPORTRANGE(""https://docs.google.com/spreadsheets/d/1QqKyyYR6Q21VydFLVH3TRQUabQu_ym0Zz7PgGX0-kHA/edit?usp=sharing"",""แผน!IN83"")"),0)</f>
        <v>0</v>
      </c>
      <c r="J726" s="270">
        <f ca="1">IFERROR(__xludf.DUMMYFUNCTION("IMPORTRANGE(""https://docs.google.com/spreadsheets/d/1XWAQStnk-4SwqDmLtmXYiTMKHgktTP8We1SCoS47DrQ/edit?usp=sharing"",""จัดที่ดิน!BR83"")"),0)</f>
        <v>0</v>
      </c>
      <c r="K726" s="498">
        <f t="shared" ca="1" si="291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IFERROR(__xludf.DUMMYFUNCTION("IMPORTRANGE(""https://docs.google.com/spreadsheets/d/1XWAQStnk-4SwqDmLtmXYiTMKHgktTP8We1SCoS47DrQ/edit?usp=sharing"",""จัดที่ดิน!BS83"")"),0)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IFERROR(__xludf.DUMMYFUNCTION("IMPORTRANGE(""https://docs.google.com/spreadsheets/d/1QqKyyYR6Q21VydFLVH3TRQUabQu_ym0Zz7PgGX0-kHA/edit?usp=sharing"",""แผน!IO83"")"),0)</f>
        <v>0</v>
      </c>
      <c r="J728" s="270">
        <f ca="1">IFERROR(__xludf.DUMMYFUNCTION("IMPORTRANGE(""https://docs.google.com/spreadsheets/d/1XWAQStnk-4SwqDmLtmXYiTMKHgktTP8We1SCoS47DrQ/edit?usp=sharing"",""จัดที่ดิน!BT83"")"),0)</f>
        <v>0</v>
      </c>
      <c r="K728" s="498">
        <f t="shared" ref="K728:K729" ca="1" si="292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IFERROR(__xludf.DUMMYFUNCTION("IMPORTRANGE(""https://docs.google.com/spreadsheets/d/1QqKyyYR6Q21VydFLVH3TRQUabQu_ym0Zz7PgGX0-kHA/edit?usp=sharing"",""แผน!IP83"")"),0)</f>
        <v>0</v>
      </c>
      <c r="J729" s="680">
        <f>J732+J735</f>
        <v>0</v>
      </c>
      <c r="K729" s="195">
        <f t="shared" ca="1" si="292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3">L738+L739</f>
        <v>0</v>
      </c>
      <c r="M737" s="646">
        <f t="shared" si="293"/>
        <v>0</v>
      </c>
      <c r="N737" s="646">
        <f t="shared" si="293"/>
        <v>0</v>
      </c>
      <c r="O737" s="646">
        <f t="shared" ref="O737:O742" si="294">IF(L737&gt;0,N737*100/L737,0)</f>
        <v>0</v>
      </c>
      <c r="P737" s="646">
        <f t="shared" ref="P737:P742" si="29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7">L741+L742</f>
        <v>0</v>
      </c>
      <c r="M740" s="646">
        <f t="shared" si="297"/>
        <v>0</v>
      </c>
      <c r="N740" s="646">
        <f t="shared" si="297"/>
        <v>0</v>
      </c>
      <c r="O740" s="646">
        <f t="shared" si="294"/>
        <v>0</v>
      </c>
      <c r="P740" s="646">
        <f t="shared" si="29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8">L748+L749</f>
        <v>0</v>
      </c>
      <c r="M747" s="646">
        <f t="shared" si="298"/>
        <v>0</v>
      </c>
      <c r="N747" s="646">
        <f t="shared" si="298"/>
        <v>0</v>
      </c>
      <c r="O747" s="646">
        <f t="shared" ref="O747:O749" si="299">IF(L747&gt;0,N747*100/L747,0)</f>
        <v>0</v>
      </c>
      <c r="P747" s="646">
        <f t="shared" ref="P747:P749" si="300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1">L755+L756</f>
        <v>0</v>
      </c>
      <c r="M754" s="646">
        <f t="shared" si="301"/>
        <v>0</v>
      </c>
      <c r="N754" s="646">
        <f t="shared" si="301"/>
        <v>0</v>
      </c>
      <c r="O754" s="646">
        <f t="shared" ref="O754:O759" si="302">IF(L754&gt;0,N754*100/L754,0)</f>
        <v>0</v>
      </c>
      <c r="P754" s="646">
        <f t="shared" ref="P754:P759" si="303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5">L758+L759</f>
        <v>0</v>
      </c>
      <c r="M757" s="646">
        <f t="shared" si="305"/>
        <v>0</v>
      </c>
      <c r="N757" s="646">
        <f t="shared" si="305"/>
        <v>0</v>
      </c>
      <c r="O757" s="646">
        <f t="shared" si="302"/>
        <v>0</v>
      </c>
      <c r="P757" s="646">
        <f t="shared" si="303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6">L765+L766</f>
        <v>0</v>
      </c>
      <c r="M764" s="646">
        <f t="shared" si="306"/>
        <v>0</v>
      </c>
      <c r="N764" s="646">
        <f t="shared" si="306"/>
        <v>0</v>
      </c>
      <c r="O764" s="646">
        <f t="shared" ref="O764:O766" si="307">IF(L764&gt;0,N764*100/L764,0)</f>
        <v>0</v>
      </c>
      <c r="P764" s="646">
        <f t="shared" ref="P764:P766" si="308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09">L771+L772</f>
        <v>0</v>
      </c>
      <c r="M770" s="646">
        <f t="shared" si="309"/>
        <v>0</v>
      </c>
      <c r="N770" s="646">
        <f t="shared" si="309"/>
        <v>0</v>
      </c>
      <c r="O770" s="646">
        <f t="shared" ref="O770:O775" si="310">IF(L770&gt;0,N770*100/L770,0)</f>
        <v>0</v>
      </c>
      <c r="P770" s="646">
        <f t="shared" ref="P770:P775" si="311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3">L774+L775</f>
        <v>0</v>
      </c>
      <c r="M773" s="646">
        <f t="shared" si="313"/>
        <v>0</v>
      </c>
      <c r="N773" s="646">
        <f t="shared" si="313"/>
        <v>0</v>
      </c>
      <c r="O773" s="646">
        <f t="shared" si="310"/>
        <v>0</v>
      </c>
      <c r="P773" s="646">
        <f t="shared" si="311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4">L781+L782</f>
        <v>0</v>
      </c>
      <c r="M780" s="646">
        <f t="shared" si="314"/>
        <v>0</v>
      </c>
      <c r="N780" s="646">
        <f t="shared" si="314"/>
        <v>0</v>
      </c>
      <c r="O780" s="646">
        <f t="shared" ref="O780:O782" si="315">IF(L780&gt;0,N780*100/L780,0)</f>
        <v>0</v>
      </c>
      <c r="P780" s="646">
        <f t="shared" ref="P780:P782" si="316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7">I800</f>
        <v>0</v>
      </c>
      <c r="J785" s="807">
        <f t="shared" ca="1" si="317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IFERROR(__xludf.DUMMYFUNCTION("IMPORTRANGE(""https://docs.google.com/spreadsheets/d/1QqKyyYR6Q21VydFLVH3TRQUabQu_ym0Zz7PgGX0-kHA/edit?usp=sharing"",""แผน!JJ83"")"),0)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IFERROR(__xludf.DUMMYFUNCTION("IMPORTRANGE(""https://docs.google.com/spreadsheets/d/1QqKyyYR6Q21VydFLVH3TRQUabQu_ym0Zz7PgGX0-kHA/edit?usp=sharing"",""แผน!JN83"")"),0)</f>
        <v>0</v>
      </c>
      <c r="J800" s="184">
        <f ca="1">IFERROR(__xludf.DUMMYFUNCTION("IMPORTRANGE(""https://docs.google.com/spreadsheets/d/1MaWodYyGHDf7siQLGxnXhG4mBNTNIuy296niS2xXulU/edit?usp=sharing"",""RTK!H83"")"),0)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IFERROR(__xludf.DUMMYFUNCTION("IMPORTRANGE(""https://docs.google.com/spreadsheets/d/1MaWodYyGHDf7siQLGxnXhG4mBNTNIuy296niS2xXulU/edit?usp=sharing"",""RTK!I83"")"),0)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6">L806+L807</f>
        <v>0</v>
      </c>
      <c r="M805" s="646">
        <f t="shared" si="326"/>
        <v>0</v>
      </c>
      <c r="N805" s="646">
        <f t="shared" si="326"/>
        <v>0</v>
      </c>
      <c r="O805" s="646">
        <f t="shared" ref="O805:O810" si="327">IF(L805&gt;0,N805*100/L805,0)</f>
        <v>0</v>
      </c>
      <c r="P805" s="646">
        <f t="shared" ref="P805:P810" si="328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0">L809+L810</f>
        <v>0</v>
      </c>
      <c r="M808" s="646">
        <f t="shared" si="330"/>
        <v>0</v>
      </c>
      <c r="N808" s="646">
        <f t="shared" si="330"/>
        <v>0</v>
      </c>
      <c r="O808" s="646">
        <f t="shared" si="327"/>
        <v>0</v>
      </c>
      <c r="P808" s="646">
        <f t="shared" si="328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1">L816+L817</f>
        <v>0</v>
      </c>
      <c r="M815" s="646">
        <f t="shared" si="331"/>
        <v>0</v>
      </c>
      <c r="N815" s="646">
        <f t="shared" si="331"/>
        <v>0</v>
      </c>
      <c r="O815" s="646">
        <f t="shared" ref="O815:O817" si="332">IF(L815&gt;0,N815*100/L815,0)</f>
        <v>0</v>
      </c>
      <c r="P815" s="646">
        <f t="shared" ref="P815:P817" si="333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341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IFERROR(__xludf.DUMMYFUNCTION("IMPORTRANGE(""https://docs.google.com/spreadsheets/d/19vJNZY_5yjcGF2XGBMNZRCAIB0Kwfpjp8YEOfu-bneM/edit?usp=sharing"",""งานกองทุน!D83"")"),699747.07)</f>
        <v>699747.07</v>
      </c>
      <c r="J821" s="270">
        <f ca="1">IFERROR(__xludf.DUMMYFUNCTION("IMPORTRANGE(""https://docs.google.com/spreadsheets/d/19vJNZY_5yjcGF2XGBMNZRCAIB0Kwfpjp8YEOfu-bneM/edit?usp=sharing"",""งานกองทุน!F83"")"),444790.46)</f>
        <v>444790.46</v>
      </c>
      <c r="K821" s="498">
        <f t="shared" ref="K821:K828" ca="1" si="334">IF(I821&gt;0,J821*100/I821,0)</f>
        <v>63.564461941941396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IFERROR(__xludf.DUMMYFUNCTION("IMPORTRANGE(""https://docs.google.com/spreadsheets/d/19vJNZY_5yjcGF2XGBMNZRCAIB0Kwfpjp8YEOfu-bneM/edit?usp=sharing"",""งานกองทุน!C83"")"),37)</f>
        <v>37</v>
      </c>
      <c r="J822" s="270">
        <f ca="1">IFERROR(__xludf.DUMMYFUNCTION("IMPORTRANGE(""https://docs.google.com/spreadsheets/d/19vJNZY_5yjcGF2XGBMNZRCAIB0Kwfpjp8YEOfu-bneM/edit?usp=sharing"",""งานกองทุน!E83"")"),29)</f>
        <v>29</v>
      </c>
      <c r="K822" s="498">
        <f t="shared" ca="1" si="334"/>
        <v>78.378378378378372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IFERROR(__xludf.DUMMYFUNCTION("IMPORTRANGE(""https://docs.google.com/spreadsheets/d/19vJNZY_5yjcGF2XGBMNZRCAIB0Kwfpjp8YEOfu-bneM/edit?usp=sharing"",""งานกองทุน!I83"")"),0)</f>
        <v>0</v>
      </c>
      <c r="J823" s="270">
        <f ca="1">IFERROR(__xludf.DUMMYFUNCTION("IMPORTRANGE(""https://docs.google.com/spreadsheets/d/19vJNZY_5yjcGF2XGBMNZRCAIB0Kwfpjp8YEOfu-bneM/edit?usp=sharing"",""งานกองทุน!K83"")"),0)</f>
        <v>0</v>
      </c>
      <c r="K823" s="498">
        <f t="shared" ca="1" si="334"/>
        <v>0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IFERROR(__xludf.DUMMYFUNCTION("IMPORTRANGE(""https://docs.google.com/spreadsheets/d/19vJNZY_5yjcGF2XGBMNZRCAIB0Kwfpjp8YEOfu-bneM/edit?usp=sharing"",""งานกองทุน!H83"")"),0)</f>
        <v>0</v>
      </c>
      <c r="J824" s="270">
        <f ca="1">IFERROR(__xludf.DUMMYFUNCTION("IMPORTRANGE(""https://docs.google.com/spreadsheets/d/19vJNZY_5yjcGF2XGBMNZRCAIB0Kwfpjp8YEOfu-bneM/edit?usp=sharing"",""งานกองทุน!J83"")"),0)</f>
        <v>0</v>
      </c>
      <c r="K824" s="498">
        <f t="shared" ca="1" si="334"/>
        <v>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IFERROR(__xludf.DUMMYFUNCTION("IMPORTRANGE(""https://docs.google.com/spreadsheets/d/19vJNZY_5yjcGF2XGBMNZRCAIB0Kwfpjp8YEOfu-bneM/edit?usp=sharing"",""งานกองทุน!N83"")"),0)</f>
        <v>0</v>
      </c>
      <c r="J825" s="270">
        <f ca="1">IFERROR(__xludf.DUMMYFUNCTION("IMPORTRANGE(""https://docs.google.com/spreadsheets/d/19vJNZY_5yjcGF2XGBMNZRCAIB0Kwfpjp8YEOfu-bneM/edit?usp=sharing"",""งานกองทุน!P83"")"),0)</f>
        <v>0</v>
      </c>
      <c r="K825" s="498">
        <f t="shared" ca="1" si="334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IFERROR(__xludf.DUMMYFUNCTION("IMPORTRANGE(""https://docs.google.com/spreadsheets/d/19vJNZY_5yjcGF2XGBMNZRCAIB0Kwfpjp8YEOfu-bneM/edit?usp=sharing"",""งานกองทุน!M83"")"),0)</f>
        <v>0</v>
      </c>
      <c r="J826" s="270">
        <f ca="1">IFERROR(__xludf.DUMMYFUNCTION("IMPORTRANGE(""https://docs.google.com/spreadsheets/d/19vJNZY_5yjcGF2XGBMNZRCAIB0Kwfpjp8YEOfu-bneM/edit?usp=sharing"",""งานกองทุน!O83"")"),0)</f>
        <v>0</v>
      </c>
      <c r="K826" s="498">
        <f t="shared" ca="1" si="334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IFERROR(__xludf.DUMMYFUNCTION("IMPORTRANGE(""https://docs.google.com/spreadsheets/d/19vJNZY_5yjcGF2XGBMNZRCAIB0Kwfpjp8YEOfu-bneM/edit?usp=sharing"",""งานกองทุน!S83"")"),200000)</f>
        <v>200000</v>
      </c>
      <c r="J827" s="270">
        <f ca="1">IFERROR(__xludf.DUMMYFUNCTION("IMPORTRANGE(""https://docs.google.com/spreadsheets/d/19vJNZY_5yjcGF2XGBMNZRCAIB0Kwfpjp8YEOfu-bneM/edit?usp=sharing"",""งานกองทุน!U83"")"),300000)</f>
        <v>300000</v>
      </c>
      <c r="K827" s="498">
        <f t="shared" ca="1" si="334"/>
        <v>150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IFERROR(__xludf.DUMMYFUNCTION("IMPORTRANGE(""https://docs.google.com/spreadsheets/d/19vJNZY_5yjcGF2XGBMNZRCAIB0Kwfpjp8YEOfu-bneM/edit?usp=sharing"",""งานกองทุน!R83"")"),8)</f>
        <v>8</v>
      </c>
      <c r="J828" s="505">
        <f ca="1">IFERROR(__xludf.DUMMYFUNCTION("IMPORTRANGE(""https://docs.google.com/spreadsheets/d/19vJNZY_5yjcGF2XGBMNZRCAIB0Kwfpjp8YEOfu-bneM/edit?usp=sharing"",""งานกองทุน!T83"")"),6)</f>
        <v>6</v>
      </c>
      <c r="K828" s="506">
        <f t="shared" ca="1" si="334"/>
        <v>75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77D61-7EBF-4D38-A5B1-8C8C2BCE5DD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349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2885815</v>
      </c>
      <c r="M8" s="22">
        <f t="shared" ca="1" si="0"/>
        <v>3032165</v>
      </c>
      <c r="N8" s="22">
        <f t="shared" ca="1" si="0"/>
        <v>2174524.4300000002</v>
      </c>
      <c r="O8" s="22">
        <f t="shared" ref="O8:O16" ca="1" si="1">IF(L8&gt;0,N8*100/L8,0)</f>
        <v>75.352177114610612</v>
      </c>
      <c r="P8" s="22">
        <f t="shared" ref="P8:P16" ca="1" si="2">IF(M8&gt;0,N8*100/M8,0)</f>
        <v>71.715240760314828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2885815</v>
      </c>
      <c r="M10" s="30">
        <f t="shared" ca="1" si="3"/>
        <v>3032165</v>
      </c>
      <c r="N10" s="30">
        <f t="shared" ca="1" si="3"/>
        <v>2174524.4300000002</v>
      </c>
      <c r="O10" s="30">
        <f t="shared" ca="1" si="1"/>
        <v>75.352177114610612</v>
      </c>
      <c r="P10" s="30">
        <f t="shared" ca="1" si="2"/>
        <v>71.715240760314828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2724015</v>
      </c>
      <c r="M11" s="498">
        <f t="shared" ca="1" si="4"/>
        <v>2870365</v>
      </c>
      <c r="N11" s="498">
        <f t="shared" ca="1" si="4"/>
        <v>2012724.4300000002</v>
      </c>
      <c r="O11" s="498">
        <f t="shared" ca="1" si="1"/>
        <v>73.888155168014876</v>
      </c>
      <c r="P11" s="498">
        <f t="shared" ca="1" si="2"/>
        <v>70.120853271273873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2724015</v>
      </c>
      <c r="M13" s="93">
        <f t="shared" ca="1" si="5"/>
        <v>2870365</v>
      </c>
      <c r="N13" s="93">
        <f t="shared" ca="1" si="5"/>
        <v>2012724.4300000002</v>
      </c>
      <c r="O13" s="93">
        <f t="shared" ca="1" si="1"/>
        <v>73.888155168014876</v>
      </c>
      <c r="P13" s="93">
        <f t="shared" ca="1" si="2"/>
        <v>70.120853271273873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161800</v>
      </c>
      <c r="M14" s="498">
        <f t="shared" ca="1" si="6"/>
        <v>161800</v>
      </c>
      <c r="N14" s="498">
        <f t="shared" ca="1" si="6"/>
        <v>161800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161800</v>
      </c>
      <c r="M16" s="52">
        <f t="shared" ca="1" si="7"/>
        <v>161800</v>
      </c>
      <c r="N16" s="52">
        <f t="shared" ca="1" si="7"/>
        <v>161800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2091540</v>
      </c>
      <c r="M18" s="22">
        <f t="shared" ca="1" si="8"/>
        <v>2237890</v>
      </c>
      <c r="N18" s="22">
        <f t="shared" ca="1" si="8"/>
        <v>1658460.77</v>
      </c>
      <c r="O18" s="22">
        <f t="shared" ref="O18:O26" ca="1" si="9">IF(L18&gt;0,N18*100/L18,0)</f>
        <v>79.293762968912858</v>
      </c>
      <c r="P18" s="22">
        <f t="shared" ref="P18:P26" ca="1" si="10">IF(M18&gt;0,N18*100/M18,0)</f>
        <v>74.108234542359099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2091540</v>
      </c>
      <c r="M20" s="30">
        <f t="shared" ca="1" si="11"/>
        <v>2237890</v>
      </c>
      <c r="N20" s="30">
        <f t="shared" ca="1" si="11"/>
        <v>1658460.77</v>
      </c>
      <c r="O20" s="30">
        <f t="shared" ca="1" si="9"/>
        <v>79.293762968912858</v>
      </c>
      <c r="P20" s="30">
        <f t="shared" ca="1" si="10"/>
        <v>74.108234542359099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1929740</v>
      </c>
      <c r="M21" s="498">
        <f t="shared" ca="1" si="12"/>
        <v>2076090</v>
      </c>
      <c r="N21" s="498">
        <f t="shared" ca="1" si="12"/>
        <v>1496660.77</v>
      </c>
      <c r="O21" s="498">
        <f t="shared" ca="1" si="9"/>
        <v>77.557638334697941</v>
      </c>
      <c r="P21" s="498">
        <f t="shared" ca="1" si="10"/>
        <v>72.090360726172761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1929740</v>
      </c>
      <c r="M23" s="93">
        <f t="shared" ca="1" si="13"/>
        <v>2076090</v>
      </c>
      <c r="N23" s="93">
        <f t="shared" ca="1" si="13"/>
        <v>1496660.77</v>
      </c>
      <c r="O23" s="93">
        <f t="shared" ca="1" si="9"/>
        <v>77.557638334697941</v>
      </c>
      <c r="P23" s="93">
        <f t="shared" ca="1" si="10"/>
        <v>72.090360726172761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161800</v>
      </c>
      <c r="M24" s="498">
        <f t="shared" ca="1" si="14"/>
        <v>161800</v>
      </c>
      <c r="N24" s="498">
        <f t="shared" ca="1" si="14"/>
        <v>161800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161800</v>
      </c>
      <c r="M26" s="52">
        <f t="shared" ca="1" si="15"/>
        <v>161800</v>
      </c>
      <c r="N26" s="52">
        <f t="shared" ca="1" si="15"/>
        <v>161800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794275</v>
      </c>
      <c r="M28" s="22">
        <f t="shared" ca="1" si="16"/>
        <v>794275</v>
      </c>
      <c r="N28" s="22">
        <f t="shared" si="16"/>
        <v>516063.66000000003</v>
      </c>
      <c r="O28" s="22">
        <f t="shared" ref="O28:O37" ca="1" si="17">IF(L28&gt;0,N28*100/L28,0)</f>
        <v>64.972919958452678</v>
      </c>
      <c r="P28" s="22">
        <f t="shared" ref="P28:P37" ca="1" si="18">IF(M28&gt;0,N28*100/M28,0)</f>
        <v>64.972919958452678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794275</v>
      </c>
      <c r="M30" s="30">
        <f t="shared" ca="1" si="19"/>
        <v>794275</v>
      </c>
      <c r="N30" s="30">
        <f t="shared" si="19"/>
        <v>516063.66000000003</v>
      </c>
      <c r="O30" s="30">
        <f t="shared" ca="1" si="17"/>
        <v>64.972919958452678</v>
      </c>
      <c r="P30" s="30">
        <f t="shared" ca="1" si="18"/>
        <v>64.972919958452678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794275</v>
      </c>
      <c r="M31" s="498">
        <f t="shared" ca="1" si="20"/>
        <v>794275</v>
      </c>
      <c r="N31" s="498">
        <f t="shared" si="20"/>
        <v>516063.66000000003</v>
      </c>
      <c r="O31" s="498">
        <f t="shared" ca="1" si="17"/>
        <v>64.972919958452678</v>
      </c>
      <c r="P31" s="498">
        <f t="shared" ca="1" si="18"/>
        <v>64.972919958452678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794275</v>
      </c>
      <c r="M33" s="93">
        <f t="shared" ca="1" si="21"/>
        <v>794275</v>
      </c>
      <c r="N33" s="93">
        <f t="shared" si="21"/>
        <v>516063.66000000003</v>
      </c>
      <c r="O33" s="93">
        <f t="shared" ca="1" si="17"/>
        <v>64.972919958452678</v>
      </c>
      <c r="P33" s="93">
        <f t="shared" ca="1" si="18"/>
        <v>64.972919958452678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2091540</v>
      </c>
      <c r="M37" s="858">
        <f t="shared" ca="1" si="24"/>
        <v>2237890</v>
      </c>
      <c r="N37" s="858">
        <f t="shared" ca="1" si="24"/>
        <v>1658460.77</v>
      </c>
      <c r="O37" s="858">
        <f t="shared" ca="1" si="17"/>
        <v>79.293762968912858</v>
      </c>
      <c r="P37" s="858">
        <f t="shared" ca="1" si="18"/>
        <v>74.108234542359099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186700</v>
      </c>
      <c r="M41" s="85">
        <f t="shared" ca="1" si="25"/>
        <v>246120</v>
      </c>
      <c r="N41" s="85">
        <f t="shared" ca="1" si="25"/>
        <v>174393</v>
      </c>
      <c r="O41" s="85">
        <f t="shared" ref="O41:O49" ca="1" si="26">IF(L41&gt;0,N41*100/L41,0)</f>
        <v>93.40814140332084</v>
      </c>
      <c r="P41" s="85">
        <f t="shared" ref="P41:P49" ca="1" si="27">IF(M41&gt;0,N41*100/M41,0)</f>
        <v>70.856899073622628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186700</v>
      </c>
      <c r="M43" s="92">
        <f t="shared" ca="1" si="28"/>
        <v>246120</v>
      </c>
      <c r="N43" s="92">
        <f t="shared" ca="1" si="28"/>
        <v>174393</v>
      </c>
      <c r="O43" s="92">
        <f t="shared" ca="1" si="26"/>
        <v>93.40814140332084</v>
      </c>
      <c r="P43" s="92">
        <f t="shared" ca="1" si="27"/>
        <v>70.856899073622628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186700</v>
      </c>
      <c r="M44" s="498">
        <f t="shared" ca="1" si="29"/>
        <v>246120</v>
      </c>
      <c r="N44" s="498">
        <f t="shared" ca="1" si="29"/>
        <v>174393</v>
      </c>
      <c r="O44" s="498">
        <f t="shared" ca="1" si="26"/>
        <v>93.40814140332084</v>
      </c>
      <c r="P44" s="498">
        <f t="shared" ca="1" si="27"/>
        <v>70.856899073622628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IFERROR(__xludf.DUMMYFUNCTION("IMPORTRANGE(""https://docs.google.com/spreadsheets/d/1MeEWN-I1oV_STSDYn1IFDPWt_1FKiwhDph83XaGc0o0/edit?usp=sharing"",""งบพรบ!M84"")"),186700)</f>
        <v>186700</v>
      </c>
      <c r="M46" s="93">
        <f ca="1">IFERROR(__xludf.DUMMYFUNCTION("IMPORTRANGE(""https://docs.google.com/spreadsheets/d/1MeEWN-I1oV_STSDYn1IFDPWt_1FKiwhDph83XaGc0o0/edit?usp=sharing"",""งบพรบ!R84"")"),246120)</f>
        <v>246120</v>
      </c>
      <c r="N46" s="93">
        <f ca="1">IFERROR(__xludf.DUMMYFUNCTION("IMPORTRANGE(""https://docs.google.com/spreadsheets/d/1MeEWN-I1oV_STSDYn1IFDPWt_1FKiwhDph83XaGc0o0/edit?usp=sharing"",""งบพรบ!T84"")"),174393)</f>
        <v>174393</v>
      </c>
      <c r="O46" s="93">
        <f t="shared" ca="1" si="26"/>
        <v>93.40814140332084</v>
      </c>
      <c r="P46" s="93">
        <f t="shared" ca="1" si="27"/>
        <v>70.856899073622628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IFERROR(__xludf.DUMMYFUNCTION("IMPORTRANGE(""https://docs.google.com/spreadsheets/d/1MeEWN-I1oV_STSDYn1IFDPWt_1FKiwhDph83XaGc0o0/edit?usp=sharing"",""งบพรบ!P84"")"),0)</f>
        <v>0</v>
      </c>
      <c r="M49" s="52">
        <f ca="1">IFERROR(__xludf.DUMMYFUNCTION("IMPORTRANGE(""https://docs.google.com/spreadsheets/d/1MeEWN-I1oV_STSDYn1IFDPWt_1FKiwhDph83XaGc0o0/edit?usp=sharing"",""งบพรบ!S84"")"),0)</f>
        <v>0</v>
      </c>
      <c r="N49" s="52">
        <f ca="1">IFERROR(__xludf.DUMMYFUNCTION("IMPORTRANGE(""https://docs.google.com/spreadsheets/d/1MeEWN-I1oV_STSDYn1IFDPWt_1FKiwhDph83XaGc0o0/edit?usp=sharing"",""งบพรบ!U84"")"),0)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618600</v>
      </c>
      <c r="M53" s="116">
        <f t="shared" ca="1" si="31"/>
        <v>626600</v>
      </c>
      <c r="N53" s="116">
        <f t="shared" ca="1" si="31"/>
        <v>549837.68999999994</v>
      </c>
      <c r="O53" s="116">
        <f t="shared" ref="O53:O61" ca="1" si="32">IF(L53&gt;0,N53*100/L53,0)</f>
        <v>88.884204655674097</v>
      </c>
      <c r="P53" s="116">
        <f t="shared" ref="P53:P61" ca="1" si="33">IF(M53&gt;0,N53*100/M53,0)</f>
        <v>87.749391956591111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618600</v>
      </c>
      <c r="M55" s="123">
        <f t="shared" ca="1" si="34"/>
        <v>626600</v>
      </c>
      <c r="N55" s="123">
        <f t="shared" ca="1" si="34"/>
        <v>549837.68999999994</v>
      </c>
      <c r="O55" s="123">
        <f t="shared" ca="1" si="32"/>
        <v>88.884204655674097</v>
      </c>
      <c r="P55" s="123">
        <f t="shared" ca="1" si="33"/>
        <v>87.749391956591111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570600</v>
      </c>
      <c r="M56" s="498">
        <f t="shared" ca="1" si="35"/>
        <v>578600</v>
      </c>
      <c r="N56" s="498">
        <f t="shared" ca="1" si="35"/>
        <v>501837.69</v>
      </c>
      <c r="O56" s="498">
        <f t="shared" ca="1" si="32"/>
        <v>87.949121976866451</v>
      </c>
      <c r="P56" s="498">
        <f t="shared" ca="1" si="33"/>
        <v>86.733095402696165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IFERROR(__xludf.DUMMYFUNCTION("IMPORTRANGE(""https://docs.google.com/spreadsheets/d/1MeEWN-I1oV_STSDYn1IFDPWt_1FKiwhDph83XaGc0o0/edit?usp=sharing"",""งบพรบ!W84"")"),570600)</f>
        <v>570600</v>
      </c>
      <c r="M58" s="93">
        <f ca="1">IFERROR(__xludf.DUMMYFUNCTION("IMPORTRANGE(""https://docs.google.com/spreadsheets/d/1MeEWN-I1oV_STSDYn1IFDPWt_1FKiwhDph83XaGc0o0/edit?usp=sharing"",""งบพรบ!AB84"")"),578600)</f>
        <v>578600</v>
      </c>
      <c r="N58" s="93">
        <f ca="1">IFERROR(__xludf.DUMMYFUNCTION("IMPORTRANGE(""https://docs.google.com/spreadsheets/d/1MeEWN-I1oV_STSDYn1IFDPWt_1FKiwhDph83XaGc0o0/edit?usp=sharing"",""งบพรบ!AD84"")"),501837.69)</f>
        <v>501837.69</v>
      </c>
      <c r="O58" s="93">
        <f t="shared" ca="1" si="32"/>
        <v>87.949121976866451</v>
      </c>
      <c r="P58" s="93">
        <f t="shared" ca="1" si="33"/>
        <v>86.733095402696165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48000</v>
      </c>
      <c r="M59" s="498">
        <f t="shared" ca="1" si="36"/>
        <v>48000</v>
      </c>
      <c r="N59" s="498">
        <f t="shared" ca="1" si="36"/>
        <v>48000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IFERROR(__xludf.DUMMYFUNCTION("IMPORTRANGE(""https://docs.google.com/spreadsheets/d/1MeEWN-I1oV_STSDYn1IFDPWt_1FKiwhDph83XaGc0o0/edit?usp=sharing"",""งบพรบ!Z84"")"),48000)</f>
        <v>48000</v>
      </c>
      <c r="M61" s="52">
        <f ca="1">IFERROR(__xludf.DUMMYFUNCTION("IMPORTRANGE(""https://docs.google.com/spreadsheets/d/1MeEWN-I1oV_STSDYn1IFDPWt_1FKiwhDph83XaGc0o0/edit?usp=sharing"",""งบพรบ!AC84"")"),48000)</f>
        <v>48000</v>
      </c>
      <c r="N61" s="52">
        <f ca="1">IFERROR(__xludf.DUMMYFUNCTION("IMPORTRANGE(""https://docs.google.com/spreadsheets/d/1MeEWN-I1oV_STSDYn1IFDPWt_1FKiwhDph83XaGc0o0/edit?usp=sharing"",""งบพรบ!AE84"")"),48000)</f>
        <v>48000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IFERROR(__xludf.DUMMYFUNCTION("IMPORTRANGE(""https://docs.google.com/spreadsheets/d/1MeEWN-I1oV_STSDYn1IFDPWt_1FKiwhDph83XaGc0o0/edit?usp=sharing"",""งบพรบ!AG84"")"),0)</f>
        <v>0</v>
      </c>
      <c r="M71" s="93">
        <f ca="1">IFERROR(__xludf.DUMMYFUNCTION("IMPORTRANGE(""https://docs.google.com/spreadsheets/d/1MeEWN-I1oV_STSDYn1IFDPWt_1FKiwhDph83XaGc0o0/edit?usp=sharing"",""งบพรบ!AL84"")"),0)</f>
        <v>0</v>
      </c>
      <c r="N71" s="93">
        <f ca="1">IFERROR(__xludf.DUMMYFUNCTION("IMPORTRANGE(""https://docs.google.com/spreadsheets/d/1MeEWN-I1oV_STSDYn1IFDPWt_1FKiwhDph83XaGc0o0/edit?usp=sharing"",""งบพรบ!AN84"")"),0)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IFERROR(__xludf.DUMMYFUNCTION("IMPORTRANGE(""https://docs.google.com/spreadsheets/d/1MeEWN-I1oV_STSDYn1IFDPWt_1FKiwhDph83XaGc0o0/edit?usp=sharing"",""งบพรบ!AJ84"")"),0)</f>
        <v>0</v>
      </c>
      <c r="M74" s="93">
        <f ca="1">IFERROR(__xludf.DUMMYFUNCTION("IMPORTRANGE(""https://docs.google.com/spreadsheets/d/1MeEWN-I1oV_STSDYn1IFDPWt_1FKiwhDph83XaGc0o0/edit?usp=sharing"",""งบพรบ!AM84"")"),0)</f>
        <v>0</v>
      </c>
      <c r="N74" s="93">
        <f ca="1">IFERROR(__xludf.DUMMYFUNCTION("IMPORTRANGE(""https://docs.google.com/spreadsheets/d/1MeEWN-I1oV_STSDYn1IFDPWt_1FKiwhDph83XaGc0o0/edit?usp=sharing"",""งบพรบ!AO84"")"),0)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245340</v>
      </c>
      <c r="M88" s="155">
        <f t="shared" ca="1" si="49"/>
        <v>245340</v>
      </c>
      <c r="N88" s="155">
        <f t="shared" ca="1" si="49"/>
        <v>165165.54</v>
      </c>
      <c r="O88" s="155">
        <f t="shared" ref="O88:O96" ca="1" si="50">IF(L88&gt;0,N88*100/L88,0)</f>
        <v>67.321080948887257</v>
      </c>
      <c r="P88" s="155">
        <f t="shared" ref="P88:P96" ca="1" si="51">IF(M88&gt;0,N88*100/M88,0)</f>
        <v>67.321080948887257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245340</v>
      </c>
      <c r="M90" s="93">
        <f t="shared" ca="1" si="52"/>
        <v>245340</v>
      </c>
      <c r="N90" s="93">
        <f t="shared" ca="1" si="52"/>
        <v>165165.54</v>
      </c>
      <c r="O90" s="93">
        <f t="shared" ca="1" si="50"/>
        <v>67.321080948887257</v>
      </c>
      <c r="P90" s="93">
        <f t="shared" ca="1" si="51"/>
        <v>67.321080948887257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245340</v>
      </c>
      <c r="M91" s="498">
        <f t="shared" ca="1" si="53"/>
        <v>245340</v>
      </c>
      <c r="N91" s="498">
        <f t="shared" ca="1" si="53"/>
        <v>165165.54</v>
      </c>
      <c r="O91" s="498">
        <f t="shared" ca="1" si="50"/>
        <v>67.321080948887257</v>
      </c>
      <c r="P91" s="498">
        <f t="shared" ca="1" si="51"/>
        <v>67.321080948887257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IFERROR(__xludf.DUMMYFUNCTION("IMPORTRANGE(""https://docs.google.com/spreadsheets/d/1MeEWN-I1oV_STSDYn1IFDPWt_1FKiwhDph83XaGc0o0/edit?usp=sharing"",""งบพรบ!AQ84"")"),245340)</f>
        <v>245340</v>
      </c>
      <c r="M93" s="93">
        <f ca="1">IFERROR(__xludf.DUMMYFUNCTION("IMPORTRANGE(""https://docs.google.com/spreadsheets/d/1MeEWN-I1oV_STSDYn1IFDPWt_1FKiwhDph83XaGc0o0/edit?usp=sharing"",""งบพรบ!AV84"")"),245340)</f>
        <v>245340</v>
      </c>
      <c r="N93" s="93">
        <f ca="1">IFERROR(__xludf.DUMMYFUNCTION("IMPORTRANGE(""https://docs.google.com/spreadsheets/d/1MeEWN-I1oV_STSDYn1IFDPWt_1FKiwhDph83XaGc0o0/edit?usp=sharing"",""งบพรบ!AX84"")"),165165.54)</f>
        <v>165165.54</v>
      </c>
      <c r="O93" s="93">
        <f t="shared" ca="1" si="50"/>
        <v>67.321080948887257</v>
      </c>
      <c r="P93" s="93">
        <f t="shared" ca="1" si="51"/>
        <v>67.321080948887257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IFERROR(__xludf.DUMMYFUNCTION("IMPORTRANGE(""https://docs.google.com/spreadsheets/d/1MeEWN-I1oV_STSDYn1IFDPWt_1FKiwhDph83XaGc0o0/edit?usp=sharing"",""งบพรบ!AT84"")"),0)</f>
        <v>0</v>
      </c>
      <c r="M96" s="93">
        <f ca="1">IFERROR(__xludf.DUMMYFUNCTION("IMPORTRANGE(""https://docs.google.com/spreadsheets/d/1MeEWN-I1oV_STSDYn1IFDPWt_1FKiwhDph83XaGc0o0/edit?usp=sharing"",""งบพรบ!AW84"")"),0)</f>
        <v>0</v>
      </c>
      <c r="N96" s="93">
        <f ca="1">IFERROR(__xludf.DUMMYFUNCTION("IMPORTRANGE(""https://docs.google.com/spreadsheets/d/1MeEWN-I1oV_STSDYn1IFDPWt_1FKiwhDph83XaGc0o0/edit?usp=sharing"",""งบพรบ!AY84"")"),0)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IFERROR(__xludf.DUMMYFUNCTION("IMPORTRANGE(""https://docs.google.com/spreadsheets/d/1QqKyyYR6Q21VydFLVH3TRQUabQu_ym0Zz7PgGX0-kHA/edit?usp=sharing"",""แผน!K84"")"),30)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IFERROR(__xludf.DUMMYFUNCTION("IMPORTRANGE(""https://docs.google.com/spreadsheets/d/1QqKyyYR6Q21VydFLVH3TRQUabQu_ym0Zz7PgGX0-kHA/edit?usp=sharing"",""แผน!L84"")"),10)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IFERROR(__xludf.DUMMYFUNCTION("IMPORTRANGE(""https://docs.google.com/spreadsheets/d/1QqKyyYR6Q21VydFLVH3TRQUabQu_ym0Zz7PgGX0-kHA/edit?usp=sharing"",""แผน!M84"")"),2)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IFERROR(__xludf.DUMMYFUNCTION("IMPORTRANGE(""https://docs.google.com/spreadsheets/d/1QqKyyYR6Q21VydFLVH3TRQUabQu_ym0Zz7PgGX0-kHA/edit?usp=sharing"",""แผน!N84"")"),30)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IFERROR(__xludf.DUMMYFUNCTION("IMPORTRANGE(""https://docs.google.com/spreadsheets/d/1QqKyyYR6Q21VydFLVH3TRQUabQu_ym0Zz7PgGX0-kHA/edit?usp=sharing"",""แผน!O84"")"),10)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IFERROR(__xludf.DUMMYFUNCTION("IMPORTRANGE(""https://docs.google.com/spreadsheets/d/1QqKyyYR6Q21VydFLVH3TRQUabQu_ym0Zz7PgGX0-kHA/edit?usp=sharing"",""แผน!O84"")"),10)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IFERROR(__xludf.DUMMYFUNCTION("IMPORTRANGE(""https://docs.google.com/spreadsheets/d/1QqKyyYR6Q21VydFLVH3TRQUabQu_ym0Zz7PgGX0-kHA/edit?usp=sharing"",""แผน!P84"")"),1)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IFERROR(__xludf.DUMMYFUNCTION("IMPORTRANGE(""https://docs.google.com/spreadsheets/d/1QqKyyYR6Q21VydFLVH3TRQUabQu_ym0Zz7PgGX0-kHA/edit?usp=sharing"",""แผน!P84"")"),1)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IFERROR(__xludf.DUMMYFUNCTION("IMPORTRANGE(""https://docs.google.com/spreadsheets/d/1QqKyyYR6Q21VydFLVH3TRQUabQu_ym0Zz7PgGX0-kHA/edit?usp=sharing"",""แผน!Q84"")"),1)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IFERROR(__xludf.DUMMYFUNCTION("IMPORTRANGE(""https://docs.google.com/spreadsheets/d/1QqKyyYR6Q21VydFLVH3TRQUabQu_ym0Zz7PgGX0-kHA/edit?usp=sharing"",""แผน!Q84"")"),1)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IFERROR(__xludf.DUMMYFUNCTION("IMPORTRANGE(""https://docs.google.com/spreadsheets/d/1QqKyyYR6Q21VydFLVH3TRQUabQu_ym0Zz7PgGX0-kHA/edit?usp=sharing"",""แผน!R84"")"),10)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IFERROR(__xludf.DUMMYFUNCTION("IMPORTRANGE(""https://docs.google.com/spreadsheets/d/1QqKyyYR6Q21VydFLVH3TRQUabQu_ym0Zz7PgGX0-kHA/edit?usp=sharing"",""แผน!R84"")"),10)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IFERROR(__xludf.DUMMYFUNCTION("IMPORTRANGE(""https://docs.google.com/spreadsheets/d/1QqKyyYR6Q21VydFLVH3TRQUabQu_ym0Zz7PgGX0-kHA/edit?usp=sharing"",""แผน!R84"")"),10)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IFERROR(__xludf.DUMMYFUNCTION("IMPORTRANGE(""https://docs.google.com/spreadsheets/d/1QqKyyYR6Q21VydFLVH3TRQUabQu_ym0Zz7PgGX0-kHA/edit?usp=sharing"",""แผน!S84"")"),1)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IFERROR(__xludf.DUMMYFUNCTION("IMPORTRANGE(""https://docs.google.com/spreadsheets/d/1QqKyyYR6Q21VydFLVH3TRQUabQu_ym0Zz7PgGX0-kHA/edit?usp=sharing"",""แผน!T84"")"),1)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IFERROR(__xludf.DUMMYFUNCTION("IMPORTRANGE(""https://docs.google.com/spreadsheets/d/1MeEWN-I1oV_STSDYn1IFDPWt_1FKiwhDph83XaGc0o0/edit?usp=sharing"",""งบพรบ!BA84"")"),0)</f>
        <v>0</v>
      </c>
      <c r="M124" s="93">
        <f ca="1">IFERROR(__xludf.DUMMYFUNCTION("IMPORTRANGE(""https://docs.google.com/spreadsheets/d/1MeEWN-I1oV_STSDYn1IFDPWt_1FKiwhDph83XaGc0o0/edit?usp=sharing"",""งบพรบ!BF84"")"),0)</f>
        <v>0</v>
      </c>
      <c r="N124" s="93">
        <f ca="1">IFERROR(__xludf.DUMMYFUNCTION("IMPORTRANGE(""https://docs.google.com/spreadsheets/d/1MeEWN-I1oV_STSDYn1IFDPWt_1FKiwhDph83XaGc0o0/edit?usp=sharing"",""งบพรบ!BH84"")"),0)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IFERROR(__xludf.DUMMYFUNCTION("IMPORTRANGE(""https://docs.google.com/spreadsheets/d/1MeEWN-I1oV_STSDYn1IFDPWt_1FKiwhDph83XaGc0o0/edit?usp=sharing"",""งบพรบ!BD84"")"),0)</f>
        <v>0</v>
      </c>
      <c r="M127" s="93">
        <f ca="1">IFERROR(__xludf.DUMMYFUNCTION("IMPORTRANGE(""https://docs.google.com/spreadsheets/d/1MeEWN-I1oV_STSDYn1IFDPWt_1FKiwhDph83XaGc0o0/edit?usp=sharing"",""งบพรบ!BG84"")"),0)</f>
        <v>0</v>
      </c>
      <c r="N127" s="93">
        <f ca="1">IFERROR(__xludf.DUMMYFUNCTION("IMPORTRANGE(""https://docs.google.com/spreadsheets/d/1MeEWN-I1oV_STSDYn1IFDPWt_1FKiwhDph83XaGc0o0/edit?usp=sharing"",""งบพรบ!BI84"")"),0)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IFERROR(__xludf.DUMMYFUNCTION("IMPORTRANGE(""https://docs.google.com/spreadsheets/d/1MeEWN-I1oV_STSDYn1IFDPWt_1FKiwhDph83XaGc0o0/edit?usp=sharing"",""งบพรบ!BK84"")"),0)</f>
        <v>0</v>
      </c>
      <c r="M137" s="93">
        <f ca="1">IFERROR(__xludf.DUMMYFUNCTION("IMPORTRANGE(""https://docs.google.com/spreadsheets/d/1MeEWN-I1oV_STSDYn1IFDPWt_1FKiwhDph83XaGc0o0/edit?usp=sharing"",""งบพรบ!BP84"")"),0)</f>
        <v>0</v>
      </c>
      <c r="N137" s="93">
        <f ca="1">IFERROR(__xludf.DUMMYFUNCTION("IMPORTRANGE(""https://docs.google.com/spreadsheets/d/1MeEWN-I1oV_STSDYn1IFDPWt_1FKiwhDph83XaGc0o0/edit?usp=sharing"",""งบพรบ!BR84"")"),0)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IFERROR(__xludf.DUMMYFUNCTION("IMPORTRANGE(""https://docs.google.com/spreadsheets/d/1MeEWN-I1oV_STSDYn1IFDPWt_1FKiwhDph83XaGc0o0/edit?usp=sharing"",""งบพรบ!BN84"")"),0)</f>
        <v>0</v>
      </c>
      <c r="M140" s="93">
        <f ca="1">IFERROR(__xludf.DUMMYFUNCTION("IMPORTRANGE(""https://docs.google.com/spreadsheets/d/1MeEWN-I1oV_STSDYn1IFDPWt_1FKiwhDph83XaGc0o0/edit?usp=sharing"",""งบพรบ!BQ84"")"),0)</f>
        <v>0</v>
      </c>
      <c r="N140" s="93">
        <f ca="1">IFERROR(__xludf.DUMMYFUNCTION("IMPORTRANGE(""https://docs.google.com/spreadsheets/d/1MeEWN-I1oV_STSDYn1IFDPWt_1FKiwhDph83XaGc0o0/edit?usp=sharing"",""งบพรบ!BS84"")"),0)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IFERROR(__xludf.DUMMYFUNCTION("IMPORTRANGE(""https://docs.google.com/spreadsheets/d/1QqKyyYR6Q21VydFLVH3TRQUabQu_ym0Zz7PgGX0-kHA/edit?usp=sharing"",""แผน!U84"")"),0)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IFERROR(__xludf.DUMMYFUNCTION("IMPORTRANGE(""https://docs.google.com/spreadsheets/d/1QqKyyYR6Q21VydFLVH3TRQUabQu_ym0Zz7PgGX0-kHA/edit?usp=sharing"",""แผน!V84"")"),0)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IFERROR(__xludf.DUMMYFUNCTION("IMPORTRANGE(""https://docs.google.com/spreadsheets/d/1QqKyyYR6Q21VydFLVH3TRQUabQu_ym0Zz7PgGX0-kHA/edit?usp=sharing"",""แผน!W84"")"),0)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IFERROR(__xludf.DUMMYFUNCTION("IMPORTRANGE(""https://docs.google.com/spreadsheets/d/1MeEWN-I1oV_STSDYn1IFDPWt_1FKiwhDph83XaGc0o0/edit?usp=sharing"",""งบพรบ!BU84"")"),0)</f>
        <v>0</v>
      </c>
      <c r="M154" s="93">
        <f ca="1">IFERROR(__xludf.DUMMYFUNCTION("IMPORTRANGE(""https://docs.google.com/spreadsheets/d/1MeEWN-I1oV_STSDYn1IFDPWt_1FKiwhDph83XaGc0o0/edit?usp=sharing"",""งบพรบ!BZ84"")"),0)</f>
        <v>0</v>
      </c>
      <c r="N154" s="93">
        <f ca="1">IFERROR(__xludf.DUMMYFUNCTION("IMPORTRANGE(""https://docs.google.com/spreadsheets/d/1MeEWN-I1oV_STSDYn1IFDPWt_1FKiwhDph83XaGc0o0/edit?usp=sharing"",""งบพรบ!CB84"")"),0)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IFERROR(__xludf.DUMMYFUNCTION("IMPORTRANGE(""https://docs.google.com/spreadsheets/d/1MeEWN-I1oV_STSDYn1IFDPWt_1FKiwhDph83XaGc0o0/edit?usp=sharing"",""งบพรบ!BX84"")"),0)</f>
        <v>0</v>
      </c>
      <c r="M157" s="93">
        <f ca="1">IFERROR(__xludf.DUMMYFUNCTION("IMPORTRANGE(""https://docs.google.com/spreadsheets/d/1MeEWN-I1oV_STSDYn1IFDPWt_1FKiwhDph83XaGc0o0/edit?usp=sharing"",""งบพรบ!CA84"")"),0)</f>
        <v>0</v>
      </c>
      <c r="N157" s="93">
        <f ca="1">IFERROR(__xludf.DUMMYFUNCTION("IMPORTRANGE(""https://docs.google.com/spreadsheets/d/1MeEWN-I1oV_STSDYn1IFDPWt_1FKiwhDph83XaGc0o0/edit?usp=sharing"",""งบพรบ!CC84"")"),0)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IFERROR(__xludf.DUMMYFUNCTION("IMPORTRANGE(""https://docs.google.com/spreadsheets/d/1QqKyyYR6Q21VydFLVH3TRQUabQu_ym0Zz7PgGX0-kHA/edit?usp=sharing"",""แผน!X84"")"),0)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42480</v>
      </c>
      <c r="N165" s="155">
        <f t="shared" ca="1" si="84"/>
        <v>42480</v>
      </c>
      <c r="O165" s="155">
        <f t="shared" ref="O165:O173" ca="1" si="85">IF(L165&gt;0,N165*100/L165,0)</f>
        <v>201.80522565320666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42480</v>
      </c>
      <c r="N167" s="93">
        <f t="shared" ca="1" si="87"/>
        <v>42480</v>
      </c>
      <c r="O167" s="93">
        <f t="shared" ca="1" si="85"/>
        <v>201.80522565320666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42480</v>
      </c>
      <c r="N168" s="498">
        <f t="shared" ca="1" si="88"/>
        <v>42480</v>
      </c>
      <c r="O168" s="498">
        <f t="shared" ca="1" si="85"/>
        <v>201.80522565320666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IFERROR(__xludf.DUMMYFUNCTION("IMPORTRANGE(""https://docs.google.com/spreadsheets/d/1MeEWN-I1oV_STSDYn1IFDPWt_1FKiwhDph83XaGc0o0/edit?usp=sharing"",""งบพรบ!CE84"")"),21050)</f>
        <v>21050</v>
      </c>
      <c r="M170" s="93">
        <f ca="1">IFERROR(__xludf.DUMMYFUNCTION("IMPORTRANGE(""https://docs.google.com/spreadsheets/d/1MeEWN-I1oV_STSDYn1IFDPWt_1FKiwhDph83XaGc0o0/edit?usp=sharing"",""งบพรบ!CJ84"")"),42480)</f>
        <v>42480</v>
      </c>
      <c r="N170" s="93">
        <f ca="1">IFERROR(__xludf.DUMMYFUNCTION("IMPORTRANGE(""https://docs.google.com/spreadsheets/d/1MeEWN-I1oV_STSDYn1IFDPWt_1FKiwhDph83XaGc0o0/edit?usp=sharing"",""งบพรบ!CL84"")"),42480)</f>
        <v>42480</v>
      </c>
      <c r="O170" s="93">
        <f t="shared" ca="1" si="85"/>
        <v>201.80522565320666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IFERROR(__xludf.DUMMYFUNCTION("IMPORTRANGE(""https://docs.google.com/spreadsheets/d/1MeEWN-I1oV_STSDYn1IFDPWt_1FKiwhDph83XaGc0o0/edit?usp=sharing"",""งบพรบ!CH84"")"),0)</f>
        <v>0</v>
      </c>
      <c r="M173" s="93">
        <f ca="1">IFERROR(__xludf.DUMMYFUNCTION("IMPORTRANGE(""https://docs.google.com/spreadsheets/d/1MeEWN-I1oV_STSDYn1IFDPWt_1FKiwhDph83XaGc0o0/edit?usp=sharing"",""งบพรบ!CK84"")"),0)</f>
        <v>0</v>
      </c>
      <c r="N173" s="93">
        <f ca="1">IFERROR(__xludf.DUMMYFUNCTION("IMPORTRANGE(""https://docs.google.com/spreadsheets/d/1MeEWN-I1oV_STSDYn1IFDPWt_1FKiwhDph83XaGc0o0/edit?usp=sharing"",""งบพรบ!CM84"")"),0)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25800</v>
      </c>
      <c r="M181" s="155">
        <f t="shared" ca="1" si="92"/>
        <v>25800</v>
      </c>
      <c r="N181" s="155">
        <f t="shared" ca="1" si="92"/>
        <v>17710</v>
      </c>
      <c r="O181" s="155">
        <f t="shared" ref="O181:O189" ca="1" si="93">IF(L181&gt;0,N181*100/L181,0)</f>
        <v>68.643410852713174</v>
      </c>
      <c r="P181" s="155">
        <f t="shared" ref="P181:P189" ca="1" si="94">IF(M181&gt;0,N181*100/M181,0)</f>
        <v>68.643410852713174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25800</v>
      </c>
      <c r="M183" s="93">
        <f t="shared" ca="1" si="95"/>
        <v>25800</v>
      </c>
      <c r="N183" s="93">
        <f t="shared" ca="1" si="95"/>
        <v>17710</v>
      </c>
      <c r="O183" s="93">
        <f t="shared" ca="1" si="93"/>
        <v>68.643410852713174</v>
      </c>
      <c r="P183" s="93">
        <f t="shared" ca="1" si="94"/>
        <v>68.643410852713174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25800</v>
      </c>
      <c r="M184" s="498">
        <f t="shared" ca="1" si="96"/>
        <v>25800</v>
      </c>
      <c r="N184" s="498">
        <f t="shared" ca="1" si="96"/>
        <v>17710</v>
      </c>
      <c r="O184" s="498">
        <f t="shared" ca="1" si="93"/>
        <v>68.643410852713174</v>
      </c>
      <c r="P184" s="498">
        <f t="shared" ca="1" si="94"/>
        <v>68.643410852713174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IFERROR(__xludf.DUMMYFUNCTION("IMPORTRANGE(""https://docs.google.com/spreadsheets/d/1MeEWN-I1oV_STSDYn1IFDPWt_1FKiwhDph83XaGc0o0/edit?usp=sharing"",""งบพรบ!CO84"")"),25800)</f>
        <v>25800</v>
      </c>
      <c r="M186" s="93">
        <f ca="1">IFERROR(__xludf.DUMMYFUNCTION("IMPORTRANGE(""https://docs.google.com/spreadsheets/d/1MeEWN-I1oV_STSDYn1IFDPWt_1FKiwhDph83XaGc0o0/edit?usp=sharing"",""งบพรบ!CT84"")"),25800)</f>
        <v>25800</v>
      </c>
      <c r="N186" s="93">
        <f ca="1">IFERROR(__xludf.DUMMYFUNCTION("IMPORTRANGE(""https://docs.google.com/spreadsheets/d/1MeEWN-I1oV_STSDYn1IFDPWt_1FKiwhDph83XaGc0o0/edit?usp=sharing"",""งบพรบ!CV84"")"),17710)</f>
        <v>17710</v>
      </c>
      <c r="O186" s="93">
        <f t="shared" ca="1" si="93"/>
        <v>68.643410852713174</v>
      </c>
      <c r="P186" s="93">
        <f t="shared" ca="1" si="94"/>
        <v>68.643410852713174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IFERROR(__xludf.DUMMYFUNCTION("IMPORTRANGE(""https://docs.google.com/spreadsheets/d/1MeEWN-I1oV_STSDYn1IFDPWt_1FKiwhDph83XaGc0o0/edit?usp=sharing"",""งบพรบ!CR84"")"),0)</f>
        <v>0</v>
      </c>
      <c r="M189" s="93">
        <f ca="1">IFERROR(__xludf.DUMMYFUNCTION("IMPORTRANGE(""https://docs.google.com/spreadsheets/d/1MeEWN-I1oV_STSDYn1IFDPWt_1FKiwhDph83XaGc0o0/edit?usp=sharing"",""งบพรบ!CU84"")"),0)</f>
        <v>0</v>
      </c>
      <c r="N189" s="93">
        <f ca="1">IFERROR(__xludf.DUMMYFUNCTION("IMPORTRANGE(""https://docs.google.com/spreadsheets/d/1MeEWN-I1oV_STSDYn1IFDPWt_1FKiwhDph83XaGc0o0/edit?usp=sharing"",""งบพรบ!CW84"")"),0)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IFERROR(__xludf.DUMMYFUNCTION("IMPORTRANGE(""https://docs.google.com/spreadsheets/d/1QqKyyYR6Q21VydFLVH3TRQUabQu_ym0Zz7PgGX0-kHA/edit?usp=sharing"",""แผน!Z84"")"),6000)</f>
        <v>6000</v>
      </c>
      <c r="M191" s="155"/>
      <c r="N191" s="276">
        <v>4410</v>
      </c>
      <c r="O191" s="155">
        <f ca="1">IF(L191&gt;0,N191*100/L191,0)</f>
        <v>73.5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IFERROR(__xludf.DUMMYFUNCTION("IMPORTRANGE(""https://docs.google.com/spreadsheets/d/1QqKyyYR6Q21VydFLVH3TRQUabQu_ym0Zz7PgGX0-kHA/edit?usp=sharing"",""แผน!AC84"")"),4)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126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126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IFERROR(__xludf.DUMMYFUNCTION("IMPORTRANGE(""https://docs.google.com/spreadsheets/d/1QqKyyYR6Q21VydFLVH3TRQUabQu_ym0Zz7PgGX0-kHA/edit?usp=sharing"",""แผน!AE84"")"),1000)</f>
        <v>1000</v>
      </c>
      <c r="M199" s="498"/>
      <c r="N199" s="826">
        <v>1000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IFERROR(__xludf.DUMMYFUNCTION("IMPORTRANGE(""https://docs.google.com/spreadsheets/d/1QqKyyYR6Q21VydFLVH3TRQUabQu_ym0Zz7PgGX0-kHA/edit?usp=sharing"",""แผน!AF84"")"),8000)</f>
        <v>8000</v>
      </c>
      <c r="M200" s="498"/>
      <c r="N200" s="826">
        <v>8000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IFERROR(__xludf.DUMMYFUNCTION("IMPORTRANGE(""https://docs.google.com/spreadsheets/d/1QqKyyYR6Q21VydFLVH3TRQUabQu_ym0Zz7PgGX0-kHA/edit?usp=sharing"",""แผน!AG84"")"),4000)</f>
        <v>4000</v>
      </c>
      <c r="M201" s="498"/>
      <c r="N201" s="826">
        <v>4000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IFERROR(__xludf.DUMMYFUNCTION("IMPORTRANGE(""https://docs.google.com/spreadsheets/d/1QqKyyYR6Q21VydFLVH3TRQUabQu_ym0Zz7PgGX0-kHA/edit?usp=sharing"",""แผน!AH84"")"),0)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IFERROR(__xludf.DUMMYFUNCTION("IMPORTRANGE(""https://docs.google.com/spreadsheets/d/1QqKyyYR6Q21VydFLVH3TRQUabQu_ym0Zz7PgGX0-kHA/edit?usp=sharing"",""แผน!AI84"")"),1)</f>
        <v>1</v>
      </c>
      <c r="J204" s="215">
        <v>1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IFERROR(__xludf.DUMMYFUNCTION("IMPORTRANGE(""https://docs.google.com/spreadsheets/d/1QqKyyYR6Q21VydFLVH3TRQUabQu_ym0Zz7PgGX0-kHA/edit?usp=sharing"",""แผน!AK84"")"),0)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IFERROR(__xludf.DUMMYFUNCTION("IMPORTRANGE(""https://docs.google.com/spreadsheets/d/1QqKyyYR6Q21VydFLVH3TRQUabQu_ym0Zz7PgGX0-kHA/edit?usp=sharing"",""แผน!AL84"")"),0)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IFERROR(__xludf.DUMMYFUNCTION("IMPORTRANGE(""https://docs.google.com/spreadsheets/d/1QqKyyYR6Q21VydFLVH3TRQUabQu_ym0Zz7PgGX0-kHA/edit?usp=sharing"",""แผน!AM84"")"),0)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IFERROR(__xludf.DUMMYFUNCTION("IMPORTRANGE(""https://docs.google.com/spreadsheets/d/1QqKyyYR6Q21VydFLVH3TRQUabQu_ym0Zz7PgGX0-kHA/edit?usp=sharing"",""แผน!AN84"")"),0)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IFERROR(__xludf.DUMMYFUNCTION("IMPORTRANGE(""https://docs.google.com/spreadsheets/d/1QqKyyYR6Q21VydFLVH3TRQUabQu_ym0Zz7PgGX0-kHA/edit?usp=sharing"",""แผน!AN84"")"),0)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6800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IFERROR(__xludf.DUMMYFUNCTION("IMPORTRANGE(""https://docs.google.com/spreadsheets/d/1QqKyyYR6Q21VydFLVH3TRQUabQu_ym0Zz7PgGX0-kHA/edit?usp=sharing"",""แผน!AP84"")"),3000)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IFERROR(__xludf.DUMMYFUNCTION("IMPORTRANGE(""https://docs.google.com/spreadsheets/d/1QqKyyYR6Q21VydFLVH3TRQUabQu_ym0Zz7PgGX0-kHA/edit?usp=sharing"",""แผน!AQ84"")"),3800)</f>
        <v>3800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IFERROR(__xludf.DUMMYFUNCTION("IMPORTRANGE(""https://docs.google.com/spreadsheets/d/1QqKyyYR6Q21VydFLVH3TRQUabQu_ym0Zz7PgGX0-kHA/edit?usp=sharing"",""แผน!AR84"")"),0)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IFERROR(__xludf.DUMMYFUNCTION("IMPORTRANGE(""https://docs.google.com/spreadsheets/d/1QqKyyYR6Q21VydFLVH3TRQUabQu_ym0Zz7PgGX0-kHA/edit?usp=sharing"",""แผน!AT84"")"),12000)</f>
        <v>12000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IFERROR(__xludf.DUMMYFUNCTION("IMPORTRANGE(""https://docs.google.com/spreadsheets/d/1QqKyyYR6Q21VydFLVH3TRQUabQu_ym0Zz7PgGX0-kHA/edit?usp=sharing"",""แผน!AT84"")"),12000)</f>
        <v>12000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IFERROR(__xludf.DUMMYFUNCTION("IMPORTRANGE(""https://docs.google.com/spreadsheets/d/1QqKyyYR6Q21VydFLVH3TRQUabQu_ym0Zz7PgGX0-kHA/edit?usp=sharing"",""แผน!AS84"")"),0)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IFERROR(__xludf.DUMMYFUNCTION("IMPORTRANGE(""https://docs.google.com/spreadsheets/d/1QqKyyYR6Q21VydFLVH3TRQUabQu_ym0Zz7PgGX0-kHA/edit?usp=sharing"",""แผน!AV84"")"),0)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IFERROR(__xludf.DUMMYFUNCTION("IMPORTRANGE(""https://docs.google.com/spreadsheets/d/1QqKyyYR6Q21VydFLVH3TRQUabQu_ym0Zz7PgGX0-kHA/edit?usp=sharing"",""แผน!AW84"")"),0)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IFERROR(__xludf.DUMMYFUNCTION("IMPORTRANGE(""https://docs.google.com/spreadsheets/d/1QqKyyYR6Q21VydFLVH3TRQUabQu_ym0Zz7PgGX0-kHA/edit?usp=sharing"",""แผน!AX84"")"),0)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IFERROR(__xludf.DUMMYFUNCTION("IMPORTRANGE(""https://docs.google.com/spreadsheets/d/1QqKyyYR6Q21VydFLVH3TRQUabQu_ym0Zz7PgGX0-kHA/edit?usp=sharing"",""แผน!AY84"")"),0)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IFERROR(__xludf.DUMMYFUNCTION("IMPORTRANGE(""https://docs.google.com/spreadsheets/d/1QqKyyYR6Q21VydFLVH3TRQUabQu_ym0Zz7PgGX0-kHA/edit?usp=sharing"",""แผน!BE84"")"),0)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IFERROR(__xludf.DUMMYFUNCTION("IMPORTRANGE(""https://docs.google.com/spreadsheets/d/1QqKyyYR6Q21VydFLVH3TRQUabQu_ym0Zz7PgGX0-kHA/edit?usp=sharing"",""แผน!AZ84"")"),0)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IFERROR(__xludf.DUMMYFUNCTION("IMPORTRANGE(""https://docs.google.com/spreadsheets/d/1QqKyyYR6Q21VydFLVH3TRQUabQu_ym0Zz7PgGX0-kHA/edit?usp=sharing"",""แผน!BA84"")"),0)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IFERROR(__xludf.DUMMYFUNCTION("IMPORTRANGE(""https://docs.google.com/spreadsheets/d/1QqKyyYR6Q21VydFLVH3TRQUabQu_ym0Zz7PgGX0-kHA/edit?usp=sharing"",""แผน!BB84"")"),0)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IFERROR(__xludf.DUMMYFUNCTION("IMPORTRANGE(""https://docs.google.com/spreadsheets/d/1QqKyyYR6Q21VydFLVH3TRQUabQu_ym0Zz7PgGX0-kHA/edit?usp=sharing"",""แผน!BC84"")"),0)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IFERROR(__xludf.DUMMYFUNCTION("IMPORTRANGE(""https://docs.google.com/spreadsheets/d/1QqKyyYR6Q21VydFLVH3TRQUabQu_ym0Zz7PgGX0-kHA/edit?usp=sharing"",""แผน!BF84"")"),0)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16</v>
      </c>
      <c r="J260" s="253">
        <f t="shared" si="115"/>
        <v>16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164200</v>
      </c>
      <c r="M261" s="155">
        <f t="shared" ca="1" si="116"/>
        <v>164200</v>
      </c>
      <c r="N261" s="155">
        <f t="shared" ca="1" si="116"/>
        <v>106311.81</v>
      </c>
      <c r="O261" s="155">
        <f t="shared" ref="O261:O269" ca="1" si="117">IF(L261&gt;0,N261*100/L261,0)</f>
        <v>64.745316686967115</v>
      </c>
      <c r="P261" s="155">
        <f t="shared" ref="P261:P269" ca="1" si="118">IF(M261&gt;0,N261*100/M261,0)</f>
        <v>64.745316686967115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164200</v>
      </c>
      <c r="M263" s="93">
        <f t="shared" ca="1" si="119"/>
        <v>164200</v>
      </c>
      <c r="N263" s="93">
        <f t="shared" ca="1" si="119"/>
        <v>106311.81</v>
      </c>
      <c r="O263" s="93">
        <f t="shared" ca="1" si="117"/>
        <v>64.745316686967115</v>
      </c>
      <c r="P263" s="93">
        <f t="shared" ca="1" si="118"/>
        <v>64.745316686967115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164200</v>
      </c>
      <c r="M264" s="498">
        <f t="shared" ca="1" si="120"/>
        <v>164200</v>
      </c>
      <c r="N264" s="498">
        <f t="shared" ca="1" si="120"/>
        <v>106311.81</v>
      </c>
      <c r="O264" s="498">
        <f t="shared" ca="1" si="117"/>
        <v>64.745316686967115</v>
      </c>
      <c r="P264" s="498">
        <f t="shared" ca="1" si="118"/>
        <v>64.745316686967115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IFERROR(__xludf.DUMMYFUNCTION("IMPORTRANGE(""https://docs.google.com/spreadsheets/d/1MeEWN-I1oV_STSDYn1IFDPWt_1FKiwhDph83XaGc0o0/edit?usp=sharing"",""งบพรบ!CY84"")"),164200)</f>
        <v>164200</v>
      </c>
      <c r="M266" s="93">
        <f ca="1">IFERROR(__xludf.DUMMYFUNCTION("IMPORTRANGE(""https://docs.google.com/spreadsheets/d/1MeEWN-I1oV_STSDYn1IFDPWt_1FKiwhDph83XaGc0o0/edit?usp=sharing"",""งบพรบ!DD84"")"),164200)</f>
        <v>164200</v>
      </c>
      <c r="N266" s="93">
        <f ca="1">IFERROR(__xludf.DUMMYFUNCTION("IMPORTRANGE(""https://docs.google.com/spreadsheets/d/1MeEWN-I1oV_STSDYn1IFDPWt_1FKiwhDph83XaGc0o0/edit?usp=sharing"",""งบพรบ!DF84"")"),106311.81)</f>
        <v>106311.81</v>
      </c>
      <c r="O266" s="93">
        <f t="shared" ca="1" si="117"/>
        <v>64.745316686967115</v>
      </c>
      <c r="P266" s="93">
        <f t="shared" ca="1" si="118"/>
        <v>64.745316686967115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IFERROR(__xludf.DUMMYFUNCTION("IMPORTRANGE(""https://docs.google.com/spreadsheets/d/1MeEWN-I1oV_STSDYn1IFDPWt_1FKiwhDph83XaGc0o0/edit?usp=sharing"",""งบพรบ!DB84"")"),0)</f>
        <v>0</v>
      </c>
      <c r="M269" s="93">
        <f ca="1">IFERROR(__xludf.DUMMYFUNCTION("IMPORTRANGE(""https://docs.google.com/spreadsheets/d/1MeEWN-I1oV_STSDYn1IFDPWt_1FKiwhDph83XaGc0o0/edit?usp=sharing"",""งบพรบ!DE84"")"),0)</f>
        <v>0</v>
      </c>
      <c r="N269" s="93">
        <f ca="1">IFERROR(__xludf.DUMMYFUNCTION("IMPORTRANGE(""https://docs.google.com/spreadsheets/d/1MeEWN-I1oV_STSDYn1IFDPWt_1FKiwhDph83XaGc0o0/edit?usp=sharing"",""งบพรบ!DG84"")"),0)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IFERROR(__xludf.DUMMYFUNCTION("IMPORTRANGE(""https://docs.google.com/spreadsheets/d/1QqKyyYR6Q21VydFLVH3TRQUabQu_ym0Zz7PgGX0-kHA/edit?usp=sharing"",""แผน!EA84"")"),16)</f>
        <v>16</v>
      </c>
      <c r="J271" s="215">
        <v>16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IFERROR(__xludf.DUMMYFUNCTION("IMPORTRANGE(""https://docs.google.com/spreadsheets/d/1MeEWN-I1oV_STSDYn1IFDPWt_1FKiwhDph83XaGc0o0/edit?usp=sharing"",""งบพรบ!DI84"")"),0)</f>
        <v>0</v>
      </c>
      <c r="M282" s="93">
        <f ca="1">IFERROR(__xludf.DUMMYFUNCTION("IMPORTRANGE(""https://docs.google.com/spreadsheets/d/1MeEWN-I1oV_STSDYn1IFDPWt_1FKiwhDph83XaGc0o0/edit?usp=sharing"",""งบพรบ!DN84"")"),0)</f>
        <v>0</v>
      </c>
      <c r="N282" s="93">
        <f ca="1">IFERROR(__xludf.DUMMYFUNCTION("IMPORTRANGE(""https://docs.google.com/spreadsheets/d/1MeEWN-I1oV_STSDYn1IFDPWt_1FKiwhDph83XaGc0o0/edit?usp=sharing"",""งบพรบ!DP84"")"),0)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IFERROR(__xludf.DUMMYFUNCTION("IMPORTRANGE(""https://docs.google.com/spreadsheets/d/1MeEWN-I1oV_STSDYn1IFDPWt_1FKiwhDph83XaGc0o0/edit?usp=sharing"",""งบพรบ!DL84"")"),0)</f>
        <v>0</v>
      </c>
      <c r="M285" s="93">
        <f ca="1">IFERROR(__xludf.DUMMYFUNCTION("IMPORTRANGE(""https://docs.google.com/spreadsheets/d/1MeEWN-I1oV_STSDYn1IFDPWt_1FKiwhDph83XaGc0o0/edit?usp=sharing"",""งบพรบ!DO84"")"),0)</f>
        <v>0</v>
      </c>
      <c r="N285" s="93">
        <f ca="1">IFERROR(__xludf.DUMMYFUNCTION("IMPORTRANGE(""https://docs.google.com/spreadsheets/d/1MeEWN-I1oV_STSDYn1IFDPWt_1FKiwhDph83XaGc0o0/edit?usp=sharing"",""งบพรบ!DQ84"")"),0)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IFERROR(__xludf.DUMMYFUNCTION("IMPORTRANGE(""https://docs.google.com/spreadsheets/d/1QqKyyYR6Q21VydFLVH3TRQUabQu_ym0Zz7PgGX0-kHA/edit?usp=sharing"",""แผน!EC84"")"),0)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IFERROR(__xludf.DUMMYFUNCTION("IMPORTRANGE(""https://docs.google.com/spreadsheets/d/1QqKyyYR6Q21VydFLVH3TRQUabQu_ym0Zz7PgGX0-kHA/edit?usp=sharing"",""แผน!EB84"")"),0)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IFERROR(__xludf.DUMMYFUNCTION("IMPORTRANGE(""https://docs.google.com/spreadsheets/d/1QqKyyYR6Q21VydFLVH3TRQUabQu_ym0Zz7PgGX0-kHA/edit?usp=sharing"",""แผน!EB84"")"),0)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IFERROR(__xludf.DUMMYFUNCTION("IMPORTRANGE(""https://docs.google.com/spreadsheets/d/1QqKyyYR6Q21VydFLVH3TRQUabQu_ym0Zz7PgGX0-kHA/edit?usp=sharing"",""แผน!EB84"")"),0)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IFERROR(__xludf.DUMMYFUNCTION("IMPORTRANGE(""https://docs.google.com/spreadsheets/d/1QqKyyYR6Q21VydFLVH3TRQUabQu_ym0Zz7PgGX0-kHA/edit?usp=sharing"",""แผน!EB84"")"),0)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IFERROR(__xludf.DUMMYFUNCTION("IMPORTRANGE(""https://docs.google.com/spreadsheets/d/1QqKyyYR6Q21VydFLVH3TRQUabQu_ym0Zz7PgGX0-kHA/edit?usp=sharing"",""แผน!EB84"")"),0)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IFERROR(__xludf.DUMMYFUNCTION("IMPORTRANGE(""https://docs.google.com/spreadsheets/d/1MeEWN-I1oV_STSDYn1IFDPWt_1FKiwhDph83XaGc0o0/edit?usp=sharing"",""งบพรบ!DS84"")"),0)</f>
        <v>0</v>
      </c>
      <c r="M303" s="93">
        <f ca="1">IFERROR(__xludf.DUMMYFUNCTION("IMPORTRANGE(""https://docs.google.com/spreadsheets/d/1MeEWN-I1oV_STSDYn1IFDPWt_1FKiwhDph83XaGc0o0/edit?usp=sharing"",""งบพรบ!DX84"")"),0)</f>
        <v>0</v>
      </c>
      <c r="N303" s="93">
        <f ca="1">IFERROR(__xludf.DUMMYFUNCTION("IMPORTRANGE(""https://docs.google.com/spreadsheets/d/1MeEWN-I1oV_STSDYn1IFDPWt_1FKiwhDph83XaGc0o0/edit?usp=sharing"",""งบพรบ!DZ84"")"),0)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IFERROR(__xludf.DUMMYFUNCTION("IMPORTRANGE(""https://docs.google.com/spreadsheets/d/1MeEWN-I1oV_STSDYn1IFDPWt_1FKiwhDph83XaGc0o0/edit?usp=sharing"",""งบพรบ!DV84"")"),0)</f>
        <v>0</v>
      </c>
      <c r="M306" s="93">
        <f ca="1">IFERROR(__xludf.DUMMYFUNCTION("IMPORTRANGE(""https://docs.google.com/spreadsheets/d/1MeEWN-I1oV_STSDYn1IFDPWt_1FKiwhDph83XaGc0o0/edit?usp=sharing"",""งบพรบ!DY84"")"),0)</f>
        <v>0</v>
      </c>
      <c r="N306" s="93">
        <f ca="1">IFERROR(__xludf.DUMMYFUNCTION("IMPORTRANGE(""https://docs.google.com/spreadsheets/d/1MeEWN-I1oV_STSDYn1IFDPWt_1FKiwhDph83XaGc0o0/edit?usp=sharing"",""งบพรบ!EA84"")"),0)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IFERROR(__xludf.DUMMYFUNCTION("IMPORTRANGE(""https://docs.google.com/spreadsheets/d/1QqKyyYR6Q21VydFLVH3TRQUabQu_ym0Zz7PgGX0-kHA/edit?usp=sharing"",""แผน!ED84"")"),0)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IFERROR(__xludf.DUMMYFUNCTION("IMPORTRANGE(""https://docs.google.com/spreadsheets/d/1QqKyyYR6Q21VydFLVH3TRQUabQu_ym0Zz7PgGX0-kHA/edit?usp=sharing"",""แผน!ED84"")"),0)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IFERROR(__xludf.DUMMYFUNCTION("IMPORTRANGE(""https://docs.google.com/spreadsheets/d/1QqKyyYR6Q21VydFLVH3TRQUabQu_ym0Zz7PgGX0-kHA/edit?usp=sharing"",""แผน!ED84"")"),0)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IFERROR(__xludf.DUMMYFUNCTION("IMPORTRANGE(""https://docs.google.com/spreadsheets/d/1QqKyyYR6Q21VydFLVH3TRQUabQu_ym0Zz7PgGX0-kHA/edit?usp=sharing"",""แผน!EE84"")"),0)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IFERROR(__xludf.DUMMYFUNCTION("IMPORTRANGE(""https://docs.google.com/spreadsheets/d/1MeEWN-I1oV_STSDYn1IFDPWt_1FKiwhDph83XaGc0o0/edit?usp=sharing"",""งบพรบ!EC84"")"),0)</f>
        <v>0</v>
      </c>
      <c r="M320" s="93">
        <f ca="1">IFERROR(__xludf.DUMMYFUNCTION("IMPORTRANGE(""https://docs.google.com/spreadsheets/d/1MeEWN-I1oV_STSDYn1IFDPWt_1FKiwhDph83XaGc0o0/edit?usp=sharing"",""งบพรบ!EH84"")"),0)</f>
        <v>0</v>
      </c>
      <c r="N320" s="93">
        <f ca="1">IFERROR(__xludf.DUMMYFUNCTION("IMPORTRANGE(""https://docs.google.com/spreadsheets/d/1MeEWN-I1oV_STSDYn1IFDPWt_1FKiwhDph83XaGc0o0/edit?usp=sharing"",""งบพรบ!EJ84"")"),0)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IFERROR(__xludf.DUMMYFUNCTION("IMPORTRANGE(""https://docs.google.com/spreadsheets/d/1MeEWN-I1oV_STSDYn1IFDPWt_1FKiwhDph83XaGc0o0/edit?usp=sharing"",""งบพรบ!EF84"")"),0)</f>
        <v>0</v>
      </c>
      <c r="M323" s="93">
        <f ca="1">IFERROR(__xludf.DUMMYFUNCTION("IMPORTRANGE(""https://docs.google.com/spreadsheets/d/1MeEWN-I1oV_STSDYn1IFDPWt_1FKiwhDph83XaGc0o0/edit?usp=sharing"",""งบพรบ!EI84"")"),0)</f>
        <v>0</v>
      </c>
      <c r="N323" s="93">
        <f ca="1">IFERROR(__xludf.DUMMYFUNCTION("IMPORTRANGE(""https://docs.google.com/spreadsheets/d/1MeEWN-I1oV_STSDYn1IFDPWt_1FKiwhDph83XaGc0o0/edit?usp=sharing"",""งบพรบ!EK84"")"),0)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IFERROR(__xludf.DUMMYFUNCTION("IMPORTRANGE(""https://docs.google.com/spreadsheets/d/1QqKyyYR6Q21VydFLVH3TRQUabQu_ym0Zz7PgGX0-kHA/edit?usp=sharing"",""แผน!EF84"")"),0)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IFERROR(__xludf.DUMMYFUNCTION("IMPORTRANGE(""https://docs.google.com/spreadsheets/d/1QqKyyYR6Q21VydFLVH3TRQUabQu_ym0Zz7PgGX0-kHA/edit?usp=sharing"",""แผน!EG84"")"),200)</f>
        <v>200</v>
      </c>
      <c r="J327" s="445">
        <f ca="1">J338+J341+J342+J343</f>
        <v>396</v>
      </c>
      <c r="K327" s="446">
        <f ca="1">IF(I327&gt;0,J327*100/I327,0)</f>
        <v>198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159500</v>
      </c>
      <c r="N328" s="155">
        <f t="shared" ca="1" si="149"/>
        <v>96783.33</v>
      </c>
      <c r="O328" s="155">
        <f t="shared" ref="O328:O336" ca="1" si="150">IF(L328&gt;0,N328*100/L328,0)</f>
        <v>61.64543312101911</v>
      </c>
      <c r="P328" s="155">
        <f t="shared" ref="P328:P336" ca="1" si="151">IF(M328&gt;0,N328*100/M328,0)</f>
        <v>60.679203761755488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157000</v>
      </c>
      <c r="M330" s="93">
        <f t="shared" ca="1" si="152"/>
        <v>159500</v>
      </c>
      <c r="N330" s="93">
        <f t="shared" ca="1" si="152"/>
        <v>96783.33</v>
      </c>
      <c r="O330" s="93">
        <f t="shared" ca="1" si="150"/>
        <v>61.64543312101911</v>
      </c>
      <c r="P330" s="93">
        <f t="shared" ca="1" si="151"/>
        <v>60.679203761755488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159500</v>
      </c>
      <c r="N331" s="498">
        <f t="shared" ca="1" si="153"/>
        <v>96783.33</v>
      </c>
      <c r="O331" s="498">
        <f t="shared" ca="1" si="150"/>
        <v>61.64543312101911</v>
      </c>
      <c r="P331" s="498">
        <f t="shared" ca="1" si="151"/>
        <v>60.679203761755488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IFERROR(__xludf.DUMMYFUNCTION("IMPORTRANGE(""https://docs.google.com/spreadsheets/d/1MeEWN-I1oV_STSDYn1IFDPWt_1FKiwhDph83XaGc0o0/edit?usp=sharing"",""งบพรบ!EM84"")"),157000)</f>
        <v>157000</v>
      </c>
      <c r="M333" s="93">
        <f ca="1">IFERROR(__xludf.DUMMYFUNCTION("IMPORTRANGE(""https://docs.google.com/spreadsheets/d/1MeEWN-I1oV_STSDYn1IFDPWt_1FKiwhDph83XaGc0o0/edit?usp=sharing"",""งบพรบ!ER84"")"),159500)</f>
        <v>159500</v>
      </c>
      <c r="N333" s="93">
        <f ca="1">IFERROR(__xludf.DUMMYFUNCTION("IMPORTRANGE(""https://docs.google.com/spreadsheets/d/1MeEWN-I1oV_STSDYn1IFDPWt_1FKiwhDph83XaGc0o0/edit?usp=sharing"",""งบพรบ!ET84"")"),96783.33)</f>
        <v>96783.33</v>
      </c>
      <c r="O333" s="93">
        <f t="shared" ca="1" si="150"/>
        <v>61.64543312101911</v>
      </c>
      <c r="P333" s="93">
        <f t="shared" ca="1" si="151"/>
        <v>60.679203761755488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IFERROR(__xludf.DUMMYFUNCTION("IMPORTRANGE(""https://docs.google.com/spreadsheets/d/1MeEWN-I1oV_STSDYn1IFDPWt_1FKiwhDph83XaGc0o0/edit?usp=sharing"",""งบพรบ!EP84"")"),0)</f>
        <v>0</v>
      </c>
      <c r="M336" s="93">
        <f ca="1">IFERROR(__xludf.DUMMYFUNCTION("IMPORTRANGE(""https://docs.google.com/spreadsheets/d/1MeEWN-I1oV_STSDYn1IFDPWt_1FKiwhDph83XaGc0o0/edit?usp=sharing"",""งบพรบ!ES84"")"),0)</f>
        <v>0</v>
      </c>
      <c r="N336" s="93">
        <f ca="1">IFERROR(__xludf.DUMMYFUNCTION("IMPORTRANGE(""https://docs.google.com/spreadsheets/d/1MeEWN-I1oV_STSDYn1IFDPWt_1FKiwhDph83XaGc0o0/edit?usp=sharing"",""งบพรบ!EU84"")"),0)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IFERROR(__xludf.DUMMYFUNCTION("IMPORTRANGE(""https://docs.google.com/spreadsheets/d/1QqKyyYR6Q21VydFLVH3TRQUabQu_ym0Zz7PgGX0-kHA/edit?usp=sharing"",""แผน!EG84"")"),200)</f>
        <v>200</v>
      </c>
      <c r="J338" s="270">
        <f ca="1">IFERROR(__xludf.DUMMYFUNCTION("IMPORTRANGE(""https://docs.google.com/spreadsheets/d/1kVcqe37tkHyjCSG3S0O1AXqVkqjo8mSIZil3BcpIysc/edit?usp=sharing"",""ศูนย์!D84"")"),305)</f>
        <v>305</v>
      </c>
      <c r="K338" s="498">
        <f ca="1">IF(I338&gt;0,J338*100/I338,0)</f>
        <v>152.5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IFERROR(__xludf.DUMMYFUNCTION("IMPORTRANGE(""https://docs.google.com/spreadsheets/d/1QqKyyYR6Q21VydFLVH3TRQUabQu_ym0Zz7PgGX0-kHA/edit?usp=sharing"",""แผน!EH84"")"),2)</f>
        <v>2</v>
      </c>
      <c r="J340" s="270">
        <f ca="1">IFERROR(__xludf.DUMMYFUNCTION("IMPORTRANGE(""https://docs.google.com/spreadsheets/d/1kVcqe37tkHyjCSG3S0O1AXqVkqjo8mSIZil3BcpIysc/edit?usp=sharing"",""ศูนย์!E84"")"),2)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IFERROR(__xludf.DUMMYFUNCTION("IMPORTRANGE(""https://docs.google.com/spreadsheets/d/1kVcqe37tkHyjCSG3S0O1AXqVkqjo8mSIZil3BcpIysc/edit?usp=sharing"",""ศูนย์!F84"")"),91)</f>
        <v>91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IFERROR(__xludf.DUMMYFUNCTION("IMPORTRANGE(""https://docs.google.com/spreadsheets/d/1kVcqe37tkHyjCSG3S0O1AXqVkqjo8mSIZil3BcpIysc/edit?usp=sharing"",""ศูนย์!G84"")"),0)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IFERROR(__xludf.DUMMYFUNCTION("IMPORTRANGE(""https://docs.google.com/spreadsheets/d/1kVcqe37tkHyjCSG3S0O1AXqVkqjo8mSIZil3BcpIysc/edit?usp=sharing"",""ศูนย์!H84"")"),0)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672850</v>
      </c>
      <c r="M345" s="155">
        <f t="shared" ca="1" si="155"/>
        <v>727850</v>
      </c>
      <c r="N345" s="155">
        <f t="shared" ca="1" si="155"/>
        <v>505779.4</v>
      </c>
      <c r="O345" s="155">
        <f t="shared" ref="O345:O353" ca="1" si="156">IF(L345&gt;0,N345*100/L345,0)</f>
        <v>75.169710931113912</v>
      </c>
      <c r="P345" s="155">
        <f t="shared" ref="P345:P353" ca="1" si="157">IF(M345&gt;0,N345*100/M345,0)</f>
        <v>69.489510201277739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672850</v>
      </c>
      <c r="M347" s="93">
        <f t="shared" ca="1" si="158"/>
        <v>727850</v>
      </c>
      <c r="N347" s="93">
        <f t="shared" ca="1" si="158"/>
        <v>505779.4</v>
      </c>
      <c r="O347" s="93">
        <f t="shared" ca="1" si="156"/>
        <v>75.169710931113912</v>
      </c>
      <c r="P347" s="93">
        <f t="shared" ca="1" si="157"/>
        <v>69.489510201277739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559050</v>
      </c>
      <c r="M348" s="498">
        <f t="shared" ca="1" si="159"/>
        <v>614050</v>
      </c>
      <c r="N348" s="498">
        <f t="shared" ca="1" si="159"/>
        <v>391979.4</v>
      </c>
      <c r="O348" s="498">
        <f t="shared" ca="1" si="156"/>
        <v>70.115266970753964</v>
      </c>
      <c r="P348" s="498">
        <f t="shared" ca="1" si="157"/>
        <v>63.835094861981922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IFERROR(__xludf.DUMMYFUNCTION("IMPORTRANGE(""https://docs.google.com/spreadsheets/d/1MeEWN-I1oV_STSDYn1IFDPWt_1FKiwhDph83XaGc0o0/edit?usp=sharing"",""งบพรบ!EW84"")"),559050)</f>
        <v>559050</v>
      </c>
      <c r="M350" s="93">
        <f ca="1">IFERROR(__xludf.DUMMYFUNCTION("IMPORTRANGE(""https://docs.google.com/spreadsheets/d/1MeEWN-I1oV_STSDYn1IFDPWt_1FKiwhDph83XaGc0o0/edit?usp=sharing"",""งบพรบ!FB84"")"),614050)</f>
        <v>614050</v>
      </c>
      <c r="N350" s="93">
        <f ca="1">IFERROR(__xludf.DUMMYFUNCTION("IMPORTRANGE(""https://docs.google.com/spreadsheets/d/1MeEWN-I1oV_STSDYn1IFDPWt_1FKiwhDph83XaGc0o0/edit?usp=sharing"",""งบพรบ!FD84"")"),391979.4)</f>
        <v>391979.4</v>
      </c>
      <c r="O350" s="93">
        <f t="shared" ca="1" si="156"/>
        <v>70.115266970753964</v>
      </c>
      <c r="P350" s="93">
        <f t="shared" ca="1" si="157"/>
        <v>63.835094861981922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113800</v>
      </c>
      <c r="M351" s="498">
        <f t="shared" ca="1" si="160"/>
        <v>113800</v>
      </c>
      <c r="N351" s="498">
        <f t="shared" ca="1" si="160"/>
        <v>113800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IFERROR(__xludf.DUMMYFUNCTION("IMPORTRANGE(""https://docs.google.com/spreadsheets/d/1MeEWN-I1oV_STSDYn1IFDPWt_1FKiwhDph83XaGc0o0/edit?usp=sharing"",""งบพรบ!EZ84"")"),113800)</f>
        <v>113800</v>
      </c>
      <c r="M353" s="93">
        <f ca="1">IFERROR(__xludf.DUMMYFUNCTION("IMPORTRANGE(""https://docs.google.com/spreadsheets/d/1MeEWN-I1oV_STSDYn1IFDPWt_1FKiwhDph83XaGc0o0/edit?usp=sharing"",""งบพรบ!FC84"")"),113800)</f>
        <v>113800</v>
      </c>
      <c r="N353" s="93">
        <f ca="1">IFERROR(__xludf.DUMMYFUNCTION("IMPORTRANGE(""https://docs.google.com/spreadsheets/d/1MeEWN-I1oV_STSDYn1IFDPWt_1FKiwhDph83XaGc0o0/edit?usp=sharing"",""งบพรบ!FE84"")"),113800)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IFERROR(__xludf.DUMMYFUNCTION("IMPORTRANGE(""https://docs.google.com/spreadsheets/d/1QqKyyYR6Q21VydFLVH3TRQUabQu_ym0Zz7PgGX0-kHA/edit?usp=sharing"",""แผน!EP84"")"),54)</f>
        <v>54</v>
      </c>
      <c r="J355" s="465">
        <f ca="1">J362</f>
        <v>52</v>
      </c>
      <c r="K355" s="466">
        <f ca="1">IF(I355&gt;0,J355*100/I355,0)</f>
        <v>96.296296296296291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IFERROR(__xludf.DUMMYFUNCTION("IMPORTRANGE(""https://docs.google.com/spreadsheets/d/1XWAQStnk-4SwqDmLtmXYiTMKHgktTP8We1SCoS47DrQ/edit?usp=sharing"",""จัดที่ดิน!W84"")"),67)</f>
        <v>67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IFERROR(__xludf.DUMMYFUNCTION("IMPORTRANGE(""https://docs.google.com/spreadsheets/d/1QqKyyYR6Q21VydFLVH3TRQUabQu_ym0Zz7PgGX0-kHA/edit?usp=sharing"",""แผน!EO84"")"),440)</f>
        <v>440</v>
      </c>
      <c r="J359" s="270">
        <f ca="1">IFERROR(__xludf.DUMMYFUNCTION("IMPORTRANGE(""https://docs.google.com/spreadsheets/d/1XWAQStnk-4SwqDmLtmXYiTMKHgktTP8We1SCoS47DrQ/edit?usp=sharing"",""จัดที่ดิน!X84"")"),590.29)</f>
        <v>590.29</v>
      </c>
      <c r="K359" s="498">
        <f t="shared" ca="1" si="161"/>
        <v>134.15681818181818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IFERROR(__xludf.DUMMYFUNCTION("IMPORTRANGE(""https://docs.google.com/spreadsheets/d/1QqKyyYR6Q21VydFLVH3TRQUabQu_ym0Zz7PgGX0-kHA/edit?usp=sharing"",""แผน!EP84"")"),54)</f>
        <v>54</v>
      </c>
      <c r="J360" s="270">
        <f ca="1">IFERROR(__xludf.DUMMYFUNCTION("IMPORTRANGE(""https://docs.google.com/spreadsheets/d/1XWAQStnk-4SwqDmLtmXYiTMKHgktTP8We1SCoS47DrQ/edit?usp=sharing"",""จัดที่ดิน!Y84"")"),66)</f>
        <v>66</v>
      </c>
      <c r="K360" s="498">
        <f t="shared" ca="1" si="161"/>
        <v>122.22222222222223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IFERROR(__xludf.DUMMYFUNCTION("IMPORTRANGE(""https://docs.google.com/spreadsheets/d/1XWAQStnk-4SwqDmLtmXYiTMKHgktTP8We1SCoS47DrQ/edit?usp=sharing"",""จัดที่ดิน!Z84"")"),429.09)</f>
        <v>429.09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IFERROR(__xludf.DUMMYFUNCTION("IMPORTRANGE(""https://docs.google.com/spreadsheets/d/1QqKyyYR6Q21VydFLVH3TRQUabQu_ym0Zz7PgGX0-kHA/edit?usp=sharing"",""แผน!EP84"")"),54)</f>
        <v>54</v>
      </c>
      <c r="J362" s="270">
        <f ca="1">IFERROR(__xludf.DUMMYFUNCTION("IMPORTRANGE(""https://docs.google.com/spreadsheets/d/1XWAQStnk-4SwqDmLtmXYiTMKHgktTP8We1SCoS47DrQ/edit?usp=sharing"",""จัดที่ดิน!AA84"")"),52)</f>
        <v>52</v>
      </c>
      <c r="K362" s="498">
        <f t="shared" ca="1" si="161"/>
        <v>96.296296296296291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IFERROR(__xludf.DUMMYFUNCTION("IMPORTRANGE(""https://docs.google.com/spreadsheets/d/1XWAQStnk-4SwqDmLtmXYiTMKHgktTP8We1SCoS47DrQ/edit?usp=sharing"",""จัดที่ดิน!AB84"")"),324.06)</f>
        <v>324.06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74</v>
      </c>
      <c r="J364" s="479">
        <f t="shared" ca="1" si="162"/>
        <v>78</v>
      </c>
      <c r="K364" s="480">
        <f t="shared" ca="1" si="161"/>
        <v>105.4054054054054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IFERROR(__xludf.DUMMYFUNCTION("IMPORTRANGE(""https://docs.google.com/spreadsheets/d/1QqKyyYR6Q21VydFLVH3TRQUabQu_ym0Zz7PgGX0-kHA/edit?usp=sharing"",""แผน!EJ84"")"),34)</f>
        <v>34</v>
      </c>
      <c r="J365" s="491">
        <f ca="1">J372</f>
        <v>38</v>
      </c>
      <c r="K365" s="492">
        <f t="shared" ca="1" si="161"/>
        <v>111.76470588235294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IFERROR(__xludf.DUMMYFUNCTION("IMPORTRANGE(""https://docs.google.com/spreadsheets/d/1XWAQStnk-4SwqDmLtmXYiTMKHgktTP8We1SCoS47DrQ/edit?usp=sharing"",""จัดที่ดิน!E84"")"),48)</f>
        <v>48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IFERROR(__xludf.DUMMYFUNCTION("IMPORTRANGE(""https://docs.google.com/spreadsheets/d/1QqKyyYR6Q21VydFLVH3TRQUabQu_ym0Zz7PgGX0-kHA/edit?usp=sharing"",""แผน!EI84"")"),340)</f>
        <v>340</v>
      </c>
      <c r="J369" s="270">
        <f ca="1">IFERROR(__xludf.DUMMYFUNCTION("IMPORTRANGE(""https://docs.google.com/spreadsheets/d/1XWAQStnk-4SwqDmLtmXYiTMKHgktTP8We1SCoS47DrQ/edit?usp=sharing"",""จัดที่ดิน!F84"")"),381.37)</f>
        <v>381.37</v>
      </c>
      <c r="K369" s="498">
        <f t="shared" ca="1" si="163"/>
        <v>112.16764705882353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IFERROR(__xludf.DUMMYFUNCTION("IMPORTRANGE(""https://docs.google.com/spreadsheets/d/1QqKyyYR6Q21VydFLVH3TRQUabQu_ym0Zz7PgGX0-kHA/edit?usp=sharing"",""แผน!EJ84"")"),34)</f>
        <v>34</v>
      </c>
      <c r="J370" s="270">
        <f ca="1">IFERROR(__xludf.DUMMYFUNCTION("IMPORTRANGE(""https://docs.google.com/spreadsheets/d/1XWAQStnk-4SwqDmLtmXYiTMKHgktTP8We1SCoS47DrQ/edit?usp=sharing"",""จัดที่ดิน!G84"")"),47)</f>
        <v>47</v>
      </c>
      <c r="K370" s="498">
        <f t="shared" ca="1" si="163"/>
        <v>138.23529411764707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IFERROR(__xludf.DUMMYFUNCTION("IMPORTRANGE(""https://docs.google.com/spreadsheets/d/1XWAQStnk-4SwqDmLtmXYiTMKHgktTP8We1SCoS47DrQ/edit?usp=sharing"",""จัดที่ดิน!H84"")"),220.17)</f>
        <v>220.17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IFERROR(__xludf.DUMMYFUNCTION("IMPORTRANGE(""https://docs.google.com/spreadsheets/d/1QqKyyYR6Q21VydFLVH3TRQUabQu_ym0Zz7PgGX0-kHA/edit?usp=sharing"",""แผน!EJ84"")"),34)</f>
        <v>34</v>
      </c>
      <c r="J372" s="270">
        <f ca="1">IFERROR(__xludf.DUMMYFUNCTION("IMPORTRANGE(""https://docs.google.com/spreadsheets/d/1XWAQStnk-4SwqDmLtmXYiTMKHgktTP8We1SCoS47DrQ/edit?usp=sharing"",""จัดที่ดิน!I84"")"),38)</f>
        <v>38</v>
      </c>
      <c r="K372" s="498">
        <f t="shared" ca="1" si="163"/>
        <v>111.76470588235294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IFERROR(__xludf.DUMMYFUNCTION("IMPORTRANGE(""https://docs.google.com/spreadsheets/d/1XWAQStnk-4SwqDmLtmXYiTMKHgktTP8We1SCoS47DrQ/edit?usp=sharing"",""จัดที่ดิน!J84"")"),210.78)</f>
        <v>210.78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IFERROR(__xludf.DUMMYFUNCTION("IMPORTRANGE(""https://docs.google.com/spreadsheets/d/1QqKyyYR6Q21VydFLVH3TRQUabQu_ym0Zz7PgGX0-kHA/edit?usp=sharing"",""แผน!EU84"")"),40)</f>
        <v>40</v>
      </c>
      <c r="J374" s="491">
        <f ca="1">J381</f>
        <v>40</v>
      </c>
      <c r="K374" s="492">
        <f t="shared" ca="1" si="163"/>
        <v>100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IFERROR(__xludf.DUMMYFUNCTION("IMPORTRANGE(""https://docs.google.com/spreadsheets/d/1XWAQStnk-4SwqDmLtmXYiTMKHgktTP8We1SCoS47DrQ/edit?usp=sharing"",""จัดที่ดิน!AH84"")"),19)</f>
        <v>19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IFERROR(__xludf.DUMMYFUNCTION("IMPORTRANGE(""https://docs.google.com/spreadsheets/d/1QqKyyYR6Q21VydFLVH3TRQUabQu_ym0Zz7PgGX0-kHA/edit?usp=sharing"",""แผน!ET84"")"),100)</f>
        <v>100</v>
      </c>
      <c r="J378" s="270">
        <f ca="1">IFERROR(__xludf.DUMMYFUNCTION("IMPORTRANGE(""https://docs.google.com/spreadsheets/d/1XWAQStnk-4SwqDmLtmXYiTMKHgktTP8We1SCoS47DrQ/edit?usp=sharing"",""จัดที่ดิน!AI84"")"),208.92)</f>
        <v>208.92</v>
      </c>
      <c r="K378" s="498">
        <f t="shared" ca="1" si="164"/>
        <v>208.92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IFERROR(__xludf.DUMMYFUNCTION("IMPORTRANGE(""https://docs.google.com/spreadsheets/d/1QqKyyYR6Q21VydFLVH3TRQUabQu_ym0Zz7PgGX0-kHA/edit?usp=sharing"",""แผน!EU84"")"),40)</f>
        <v>40</v>
      </c>
      <c r="J379" s="270">
        <f ca="1">IFERROR(__xludf.DUMMYFUNCTION("IMPORTRANGE(""https://docs.google.com/spreadsheets/d/1XWAQStnk-4SwqDmLtmXYiTMKHgktTP8We1SCoS47DrQ/edit?usp=sharing"",""จัดที่ดิน!AJ84"")"),45)</f>
        <v>45</v>
      </c>
      <c r="K379" s="498">
        <f t="shared" ca="1" si="164"/>
        <v>112.5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IFERROR(__xludf.DUMMYFUNCTION("IMPORTRANGE(""https://docs.google.com/spreadsheets/d/1XWAQStnk-4SwqDmLtmXYiTMKHgktTP8We1SCoS47DrQ/edit?usp=sharing"",""จัดที่ดิน!AK84"")"),386.95)</f>
        <v>386.95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IFERROR(__xludf.DUMMYFUNCTION("IMPORTRANGE(""https://docs.google.com/spreadsheets/d/1QqKyyYR6Q21VydFLVH3TRQUabQu_ym0Zz7PgGX0-kHA/edit?usp=sharing"",""แผน!EU84"")"),40)</f>
        <v>40</v>
      </c>
      <c r="J381" s="270">
        <f ca="1">IFERROR(__xludf.DUMMYFUNCTION("IMPORTRANGE(""https://docs.google.com/spreadsheets/d/1XWAQStnk-4SwqDmLtmXYiTMKHgktTP8We1SCoS47DrQ/edit?usp=sharing"",""จัดที่ดิน!AL84"")"),40)</f>
        <v>40</v>
      </c>
      <c r="K381" s="498">
        <f t="shared" ca="1" si="164"/>
        <v>100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IFERROR(__xludf.DUMMYFUNCTION("IMPORTRANGE(""https://docs.google.com/spreadsheets/d/1XWAQStnk-4SwqDmLtmXYiTMKHgktTP8We1SCoS47DrQ/edit?usp=sharing"",""จัดที่ดิน!AM84"")"),291.31)</f>
        <v>291.31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IFERROR(__xludf.DUMMYFUNCTION("IMPORTRANGE(""https://docs.google.com/spreadsheets/d/1QqKyyYR6Q21VydFLVH3TRQUabQu_ym0Zz7PgGX0-kHA/edit?usp=sharing"",""แผน!EW84"")"),10)</f>
        <v>10</v>
      </c>
      <c r="J385" s="505">
        <f ca="1">IFERROR(__xludf.DUMMYFUNCTION("IMPORTRANGE(""https://docs.google.com/spreadsheets/d/1XWAQStnk-4SwqDmLtmXYiTMKHgktTP8We1SCoS47DrQ/edit?usp=sharing"",""จัดที่ดิน!AP84"")"),3)</f>
        <v>3</v>
      </c>
      <c r="K385" s="506">
        <f ca="1">IF(I385&gt;0,J385*100/I385,0)</f>
        <v>30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IFERROR(__xludf.DUMMYFUNCTION("IMPORTRANGE(""https://docs.google.com/spreadsheets/d/1MeEWN-I1oV_STSDYn1IFDPWt_1FKiwhDph83XaGc0o0/edit?usp=sharing"",""งบพรบ!FG84"")"),0)</f>
        <v>0</v>
      </c>
      <c r="M394" s="93">
        <f ca="1">IFERROR(__xludf.DUMMYFUNCTION("IMPORTRANGE(""https://docs.google.com/spreadsheets/d/1MeEWN-I1oV_STSDYn1IFDPWt_1FKiwhDph83XaGc0o0/edit?usp=sharing"",""งบพรบ!FL84"")"),0)</f>
        <v>0</v>
      </c>
      <c r="N394" s="93">
        <f ca="1">IFERROR(__xludf.DUMMYFUNCTION("IMPORTRANGE(""https://docs.google.com/spreadsheets/d/1MeEWN-I1oV_STSDYn1IFDPWt_1FKiwhDph83XaGc0o0/edit?usp=sharing"",""งบพรบ!FN84"")"),0)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IFERROR(__xludf.DUMMYFUNCTION("IMPORTRANGE(""https://docs.google.com/spreadsheets/d/1MeEWN-I1oV_STSDYn1IFDPWt_1FKiwhDph83XaGc0o0/edit?usp=sharing"",""งบพรบ!FJ84"")"),0)</f>
        <v>0</v>
      </c>
      <c r="M397" s="93">
        <f ca="1">IFERROR(__xludf.DUMMYFUNCTION("IMPORTRANGE(""https://docs.google.com/spreadsheets/d/1MeEWN-I1oV_STSDYn1IFDPWt_1FKiwhDph83XaGc0o0/edit?usp=sharing"",""งบพรบ!FM84"")"),0)</f>
        <v>0</v>
      </c>
      <c r="N397" s="93">
        <f ca="1">IFERROR(__xludf.DUMMYFUNCTION("IMPORTRANGE(""https://docs.google.com/spreadsheets/d/1MeEWN-I1oV_STSDYn1IFDPWt_1FKiwhDph83XaGc0o0/edit?usp=sharing"",""งบพรบ!FO84"")"),0)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IFERROR(__xludf.DUMMYFUNCTION("IMPORTRANGE(""https://docs.google.com/spreadsheets/d/1MeEWN-I1oV_STSDYn1IFDPWt_1FKiwhDph83XaGc0o0/edit?usp=sharing"",""งบพรบ!FQ84"")"),0)</f>
        <v>0</v>
      </c>
      <c r="M407" s="93">
        <f ca="1">IFERROR(__xludf.DUMMYFUNCTION("IMPORTRANGE(""https://docs.google.com/spreadsheets/d/1MeEWN-I1oV_STSDYn1IFDPWt_1FKiwhDph83XaGc0o0/edit?usp=sharing"",""งบพรบ!FV84"")"),0)</f>
        <v>0</v>
      </c>
      <c r="N407" s="93">
        <f ca="1">IFERROR(__xludf.DUMMYFUNCTION("IMPORTRANGE(""https://docs.google.com/spreadsheets/d/1MeEWN-I1oV_STSDYn1IFDPWt_1FKiwhDph83XaGc0o0/edit?usp=sharing"",""งบพรบ!FX84"")"),0)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IFERROR(__xludf.DUMMYFUNCTION("IMPORTRANGE(""https://docs.google.com/spreadsheets/d/1MeEWN-I1oV_STSDYn1IFDPWt_1FKiwhDph83XaGc0o0/edit?usp=sharing"",""งบพรบ!FT84"")"),0)</f>
        <v>0</v>
      </c>
      <c r="M410" s="93">
        <f ca="1">IFERROR(__xludf.DUMMYFUNCTION("IMPORTRANGE(""https://docs.google.com/spreadsheets/d/1MeEWN-I1oV_STSDYn1IFDPWt_1FKiwhDph83XaGc0o0/edit?usp=sharing"",""งบพรบ!FW84"")"),0)</f>
        <v>0</v>
      </c>
      <c r="N410" s="93">
        <f ca="1">IFERROR(__xludf.DUMMYFUNCTION("IMPORTRANGE(""https://docs.google.com/spreadsheets/d/1MeEWN-I1oV_STSDYn1IFDPWt_1FKiwhDph83XaGc0o0/edit?usp=sharing"",""งบพรบ!FY84"")"),0)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794275</v>
      </c>
      <c r="M414" s="553">
        <f t="shared" ca="1" si="181"/>
        <v>794275</v>
      </c>
      <c r="N414" s="553">
        <f t="shared" si="181"/>
        <v>516063.66000000003</v>
      </c>
      <c r="O414" s="553">
        <f ca="1">IF(L414&gt;0,N414*100/L414,0)</f>
        <v>64.972919958452678</v>
      </c>
      <c r="P414" s="553">
        <f ca="1">IF(M414&gt;0,N414*100/M414,0)</f>
        <v>64.972919958452678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10</v>
      </c>
      <c r="J417" s="569">
        <f t="shared" ca="1" si="182"/>
        <v>10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54560</v>
      </c>
      <c r="M419" s="155">
        <f t="shared" ca="1" si="184"/>
        <v>54560</v>
      </c>
      <c r="N419" s="155">
        <f t="shared" si="184"/>
        <v>52740</v>
      </c>
      <c r="O419" s="155">
        <f t="shared" ref="O419:O424" ca="1" si="185">IF(L419&gt;0,N419*100/L419,0)</f>
        <v>96.6642228739003</v>
      </c>
      <c r="P419" s="155">
        <f t="shared" ref="P419:P424" ca="1" si="186">IF(M419&gt;0,N419*100/M419,0)</f>
        <v>96.6642228739003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54560</v>
      </c>
      <c r="M421" s="93">
        <f t="shared" ca="1" si="187"/>
        <v>54560</v>
      </c>
      <c r="N421" s="93">
        <f t="shared" si="187"/>
        <v>52740</v>
      </c>
      <c r="O421" s="93">
        <f t="shared" ca="1" si="185"/>
        <v>96.6642228739003</v>
      </c>
      <c r="P421" s="93">
        <f t="shared" ca="1" si="186"/>
        <v>96.6642228739003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54560</v>
      </c>
      <c r="M422" s="498">
        <f t="shared" ca="1" si="188"/>
        <v>54560</v>
      </c>
      <c r="N422" s="498">
        <f t="shared" si="188"/>
        <v>52740</v>
      </c>
      <c r="O422" s="498">
        <f t="shared" ca="1" si="185"/>
        <v>96.6642228739003</v>
      </c>
      <c r="P422" s="498">
        <f t="shared" ca="1" si="186"/>
        <v>96.6642228739003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IFERROR(__xludf.DUMMYFUNCTION("IMPORTRANGE(""https://docs.google.com/spreadsheets/d/1QqKyyYR6Q21VydFLVH3TRQUabQu_ym0Zz7PgGX0-kHA/edit?usp=sharing"",""แผน!EY84"")"),54560)</f>
        <v>54560</v>
      </c>
      <c r="M424" s="93">
        <f ca="1">L424</f>
        <v>54560</v>
      </c>
      <c r="N424" s="93">
        <f>N425+N426+N427+N428</f>
        <v>52740</v>
      </c>
      <c r="O424" s="93">
        <f t="shared" ca="1" si="185"/>
        <v>96.6642228739003</v>
      </c>
      <c r="P424" s="93">
        <f t="shared" ca="1" si="186"/>
        <v>96.6642228739003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24300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28440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10</v>
      </c>
      <c r="J433" s="680">
        <f ca="1">IF(AND(J435=I435,J437=I437,J439=I439),I437+I439,IF(AND(J435=I437,J437=I437),I437,IF(AND(J435=I439,J439=I439),I439,0)))</f>
        <v>10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IFERROR(__xludf.DUMMYFUNCTION("IMPORTRANGE(""https://docs.google.com/spreadsheets/d/1QqKyyYR6Q21VydFLVH3TRQUabQu_ym0Zz7PgGX0-kHA/edit?usp=sharing"",""แผน!FC84"")"),10)</f>
        <v>10</v>
      </c>
      <c r="J435" s="583">
        <v>10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IFERROR(__xludf.DUMMYFUNCTION("IMPORTRANGE(""https://docs.google.com/spreadsheets/d/1QqKyyYR6Q21VydFLVH3TRQUabQu_ym0Zz7PgGX0-kHA/edit?usp=sharing"",""แผน!FD84"")"),0)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IFERROR(__xludf.DUMMYFUNCTION("IMPORTRANGE(""https://docs.google.com/spreadsheets/d/1QqKyyYR6Q21VydFLVH3TRQUabQu_ym0Zz7PgGX0-kHA/edit?usp=sharing"",""แผน!FE84"")"),0)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IFERROR(__xludf.DUMMYFUNCTION("IMPORTRANGE(""https://docs.google.com/spreadsheets/d/1QqKyyYR6Q21VydFLVH3TRQUabQu_ym0Zz7PgGX0-kHA/edit?usp=sharing"",""แผน!FF84"")"),10)</f>
        <v>10</v>
      </c>
      <c r="J439" s="583">
        <v>10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IFERROR(__xludf.DUMMYFUNCTION("IMPORTRANGE(""https://docs.google.com/spreadsheets/d/1QqKyyYR6Q21VydFLVH3TRQUabQu_ym0Zz7PgGX0-kHA/edit?usp=sharing"",""แผน!FG84"")"),1)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IFERROR(__xludf.DUMMYFUNCTION("IMPORTRANGE(""https://docs.google.com/spreadsheets/d/1QqKyyYR6Q21VydFLVH3TRQUabQu_ym0Zz7PgGX0-kHA/edit?usp=sharing"",""แผน!FH84"")"),0)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IFERROR(__xludf.DUMMYFUNCTION("IMPORTRANGE(""https://docs.google.com/spreadsheets/d/1QqKyyYR6Q21VydFLVH3TRQUabQu_ym0Zz7PgGX0-kHA/edit?usp=sharing"",""แผน!FN84"")"),0)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IFERROR(__xludf.DUMMYFUNCTION("IMPORTRANGE(""https://docs.google.com/spreadsheets/d/1QqKyyYR6Q21VydFLVH3TRQUabQu_ym0Zz7PgGX0-kHA/edit?usp=sharing"",""แผน!FO84"")"),0)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IFERROR(__xludf.DUMMYFUNCTION("IMPORTRANGE(""https://docs.google.com/spreadsheets/d/1QqKyyYR6Q21VydFLVH3TRQUabQu_ym0Zz7PgGX0-kHA/edit?usp=sharing"",""แผน!FO84"")"),0)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IFERROR(__xludf.DUMMYFUNCTION("IMPORTRANGE(""https://docs.google.com/spreadsheets/d/1QqKyyYR6Q21VydFLVH3TRQUabQu_ym0Zz7PgGX0-kHA/edit?usp=sharing"",""แผน!FN84"")"),0)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IFERROR(__xludf.DUMMYFUNCTION("IMPORTRANGE(""https://docs.google.com/spreadsheets/d/1QqKyyYR6Q21VydFLVH3TRQUabQu_ym0Zz7PgGX0-kHA/edit?usp=sharing"",""แผน!FX84"")"),11)</f>
        <v>11</v>
      </c>
      <c r="J465" s="589">
        <f>J485+J489+J492</f>
        <v>11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IFERROR(__xludf.DUMMYFUNCTION("IMPORTRANGE(""https://docs.google.com/spreadsheets/d/1QqKyyYR6Q21VydFLVH3TRQUabQu_ym0Zz7PgGX0-kHA/edit?usp=sharing"",""แผน!FW84"")"),100)</f>
        <v>100</v>
      </c>
      <c r="J466" s="569">
        <f>J495+J498</f>
        <v>100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114463</v>
      </c>
      <c r="M467" s="195">
        <f t="shared" ca="1" si="206"/>
        <v>114463</v>
      </c>
      <c r="N467" s="195">
        <f t="shared" si="206"/>
        <v>112145</v>
      </c>
      <c r="O467" s="195">
        <f t="shared" ref="O467:O472" ca="1" si="207">IF(L467&gt;0,N467*100/L467,0)</f>
        <v>97.974891449638747</v>
      </c>
      <c r="P467" s="195">
        <f t="shared" ref="P467:P472" ca="1" si="208">IF(M467&gt;0,N467*100/M467,0)</f>
        <v>97.974891449638747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114463</v>
      </c>
      <c r="M469" s="93">
        <f t="shared" ca="1" si="209"/>
        <v>114463</v>
      </c>
      <c r="N469" s="93">
        <f t="shared" si="209"/>
        <v>112145</v>
      </c>
      <c r="O469" s="93">
        <f t="shared" ca="1" si="207"/>
        <v>97.974891449638747</v>
      </c>
      <c r="P469" s="93">
        <f t="shared" ca="1" si="208"/>
        <v>97.974891449638747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114463</v>
      </c>
      <c r="M470" s="498">
        <f t="shared" ca="1" si="210"/>
        <v>114463</v>
      </c>
      <c r="N470" s="498">
        <f t="shared" si="210"/>
        <v>112145</v>
      </c>
      <c r="O470" s="498">
        <f t="shared" ca="1" si="207"/>
        <v>97.974891449638747</v>
      </c>
      <c r="P470" s="498">
        <f t="shared" ca="1" si="208"/>
        <v>97.974891449638747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IFERROR(__xludf.DUMMYFUNCTION("IMPORTRANGE(""https://docs.google.com/spreadsheets/d/1QqKyyYR6Q21VydFLVH3TRQUabQu_ym0Zz7PgGX0-kHA/edit?usp=sharing"",""แผน!FS84"")"),114463)</f>
        <v>114463</v>
      </c>
      <c r="M472" s="93">
        <f ca="1">L472</f>
        <v>114463</v>
      </c>
      <c r="N472" s="93">
        <f>N473+N474+N475+N476</f>
        <v>112145</v>
      </c>
      <c r="O472" s="93">
        <f t="shared" ca="1" si="207"/>
        <v>97.974891449638747</v>
      </c>
      <c r="P472" s="93">
        <f t="shared" ca="1" si="208"/>
        <v>97.974891449638747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14293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66000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31852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IFERROR(__xludf.DUMMYFUNCTION("IMPORTRANGE(""https://docs.google.com/spreadsheets/d/1QqKyyYR6Q21VydFLVH3TRQUabQu_ym0Zz7PgGX0-kHA/edit?usp=sharing"",""แผน!FY84"")"),90)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9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IFERROR(__xludf.DUMMYFUNCTION("IMPORTRANGE(""https://docs.google.com/spreadsheets/d/1QqKyyYR6Q21VydFLVH3TRQUabQu_ym0Zz7PgGX0-kHA/edit?usp=sharing"",""แผน!FZ84"")"),9)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IFERROR(__xludf.DUMMYFUNCTION("IMPORTRANGE(""https://docs.google.com/spreadsheets/d/1QqKyyYR6Q21VydFLVH3TRQUabQu_ym0Zz7PgGX0-kHA/edit?usp=sharing"",""แผน!GA84"")"),10)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IFERROR(__xludf.DUMMYFUNCTION("IMPORTRANGE(""https://docs.google.com/spreadsheets/d/1QqKyyYR6Q21VydFLVH3TRQUabQu_ym0Zz7PgGX0-kHA/edit?usp=sharing"",""แผน!GB84"")"),1)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IFERROR(__xludf.DUMMYFUNCTION("IMPORTRANGE(""https://docs.google.com/spreadsheets/d/1QqKyyYR6Q21VydFLVH3TRQUabQu_ym0Zz7PgGX0-kHA/edit?usp=sharing"",""แผน!GC84"")"),1)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IFERROR(__xludf.DUMMYFUNCTION("IMPORTRANGE(""https://docs.google.com/spreadsheets/d/1QqKyyYR6Q21VydFLVH3TRQUabQu_ym0Zz7PgGX0-kHA/edit?usp=sharing"",""แผน!FY84"")"),90)</f>
        <v>90</v>
      </c>
      <c r="J495" s="215">
        <v>90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IFERROR(__xludf.DUMMYFUNCTION("IMPORTRANGE(""https://docs.google.com/spreadsheets/d/1QqKyyYR6Q21VydFLVH3TRQUabQu_ym0Zz7PgGX0-kHA/edit?usp=sharing"",""แผน!GA84"")"),10)</f>
        <v>10</v>
      </c>
      <c r="J498" s="215">
        <v>10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IFERROR(__xludf.DUMMYFUNCTION("IMPORTRANGE(""https://docs.google.com/spreadsheets/d/1QqKyyYR6Q21VydFLVH3TRQUabQu_ym0Zz7PgGX0-kHA/edit?usp=sharing"",""แผน!GU84"")"),0)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IFERROR(__xludf.DUMMYFUNCTION("IMPORTRANGE(""https://docs.google.com/spreadsheets/d/1QqKyyYR6Q21VydFLVH3TRQUabQu_ym0Zz7PgGX0-kHA/edit?usp=sharing"",""แผน!GV84"")"),0)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IFERROR(__xludf.DUMMYFUNCTION("IMPORTRANGE(""https://docs.google.com/spreadsheets/d/1QqKyyYR6Q21VydFLVH3TRQUabQu_ym0Zz7PgGX0-kHA/edit?usp=sharing"",""แผน!GW84"")"),0)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IFERROR(__xludf.DUMMYFUNCTION("IMPORTRANGE(""https://docs.google.com/spreadsheets/d/1QqKyyYR6Q21VydFLVH3TRQUabQu_ym0Zz7PgGX0-kHA/edit?usp=sharing"",""แผน!GX84"")"),0)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IFERROR(__xludf.DUMMYFUNCTION("IMPORTRANGE(""https://docs.google.com/spreadsheets/d/1QqKyyYR6Q21VydFLVH3TRQUabQu_ym0Zz7PgGX0-kHA/edit?usp=sharing"",""แผน!GY84"")"),0)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IFERROR(__xludf.DUMMYFUNCTION("IMPORTRANGE(""https://docs.google.com/spreadsheets/d/1QqKyyYR6Q21VydFLVH3TRQUabQu_ym0Zz7PgGX0-kHA/edit?usp=sharing"",""แผน!GZ84"")"),0)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6007</v>
      </c>
      <c r="J543" s="686">
        <f t="shared" si="235"/>
        <v>6007</v>
      </c>
      <c r="K543" s="687">
        <f t="shared" ca="1" si="234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231097</v>
      </c>
      <c r="M544" s="155">
        <f t="shared" ca="1" si="236"/>
        <v>231097</v>
      </c>
      <c r="N544" s="155">
        <f t="shared" si="236"/>
        <v>192097</v>
      </c>
      <c r="O544" s="155">
        <f t="shared" ref="O544:O549" ca="1" si="237">IF(L544&gt;0,N544*100/L544,0)</f>
        <v>83.123969588527757</v>
      </c>
      <c r="P544" s="155">
        <f t="shared" ref="P544:P549" ca="1" si="238">IF(M544&gt;0,N544*100/M544,0)</f>
        <v>83.123969588527757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231097</v>
      </c>
      <c r="M546" s="93">
        <f t="shared" ca="1" si="240"/>
        <v>231097</v>
      </c>
      <c r="N546" s="93">
        <f t="shared" si="240"/>
        <v>192097</v>
      </c>
      <c r="O546" s="93">
        <f t="shared" ca="1" si="237"/>
        <v>83.123969588527757</v>
      </c>
      <c r="P546" s="93">
        <f t="shared" ca="1" si="238"/>
        <v>83.123969588527757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231097</v>
      </c>
      <c r="M547" s="498">
        <f t="shared" ca="1" si="241"/>
        <v>231097</v>
      </c>
      <c r="N547" s="498">
        <f t="shared" si="241"/>
        <v>192097</v>
      </c>
      <c r="O547" s="498">
        <f t="shared" ca="1" si="237"/>
        <v>83.123969588527757</v>
      </c>
      <c r="P547" s="498">
        <f t="shared" ca="1" si="238"/>
        <v>83.123969588527757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IFERROR(__xludf.DUMMYFUNCTION("IMPORTRANGE(""https://docs.google.com/spreadsheets/d/1QqKyyYR6Q21VydFLVH3TRQUabQu_ym0Zz7PgGX0-kHA/edit?usp=sharing"",""แผน!HB84"")"),231097)</f>
        <v>231097</v>
      </c>
      <c r="M549" s="93">
        <f ca="1">L549</f>
        <v>231097</v>
      </c>
      <c r="N549" s="93">
        <f>N550+N551+N552+N553+N554</f>
        <v>192097</v>
      </c>
      <c r="O549" s="93">
        <f t="shared" ca="1" si="237"/>
        <v>83.123969588527757</v>
      </c>
      <c r="P549" s="93">
        <f t="shared" ca="1" si="238"/>
        <v>83.123969588527757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104000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88097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6007</v>
      </c>
      <c r="J559" s="707">
        <f t="shared" si="245"/>
        <v>6007</v>
      </c>
      <c r="K559" s="676">
        <f t="shared" ref="K559:K561" ca="1" si="246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IFERROR(__xludf.DUMMYFUNCTION("IMPORTRANGE(""https://docs.google.com/spreadsheets/d/1QqKyyYR6Q21VydFLVH3TRQUabQu_ym0Zz7PgGX0-kHA/edit?usp=sharing"",""แผน!HH84"")"),6007)</f>
        <v>6007</v>
      </c>
      <c r="J560" s="193">
        <f t="shared" ref="J560:J561" si="247">J562+J564+J566</f>
        <v>6007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IFERROR(__xludf.DUMMYFUNCTION("IMPORTRANGE(""https://docs.google.com/spreadsheets/d/1QqKyyYR6Q21VydFLVH3TRQUabQu_ym0Zz7PgGX0-kHA/edit?usp=sharing"",""แผน!HG84"")"),823)</f>
        <v>823</v>
      </c>
      <c r="J561" s="193">
        <f t="shared" si="247"/>
        <v>823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5493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756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442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57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72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IFERROR(__xludf.DUMMYFUNCTION("IMPORTRANGE(""https://docs.google.com/spreadsheets/d/1QqKyyYR6Q21VydFLVH3TRQUabQu_ym0Zz7PgGX0-kHA/edit?usp=sharing"",""แผน!HH84"")"),6007)</f>
        <v>6007</v>
      </c>
      <c r="J568" s="680">
        <f t="shared" ref="J568:J569" si="248">J570+J572+J574</f>
        <v>6007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IFERROR(__xludf.DUMMYFUNCTION("IMPORTRANGE(""https://docs.google.com/spreadsheets/d/1QqKyyYR6Q21VydFLVH3TRQUabQu_ym0Zz7PgGX0-kHA/edit?usp=sharing"",""แผน!HG84"")"),823)</f>
        <v>823</v>
      </c>
      <c r="J569" s="680">
        <f t="shared" si="248"/>
        <v>823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5493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756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442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57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72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IFERROR(__xludf.DUMMYFUNCTION("IMPORTRANGE(""https://docs.google.com/spreadsheets/d/1QqKyyYR6Q21VydFLVH3TRQUabQu_ym0Zz7PgGX0-kHA/edit?usp=sharing"",""แผน!HH84"")"),6007)</f>
        <v>6007</v>
      </c>
      <c r="J576" s="680">
        <f t="shared" ref="J576:J577" si="250">J578+J580+J582+J588+J590</f>
        <v>6007</v>
      </c>
      <c r="K576" s="412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IFERROR(__xludf.DUMMYFUNCTION("IMPORTRANGE(""https://docs.google.com/spreadsheets/d/1QqKyyYR6Q21VydFLVH3TRQUabQu_ym0Zz7PgGX0-kHA/edit?usp=sharing"",""แผน!HG84"")"),823)</f>
        <v>823</v>
      </c>
      <c r="J577" s="680">
        <f t="shared" si="250"/>
        <v>823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5571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762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247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40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247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40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189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21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50.42</v>
      </c>
      <c r="J592" s="707">
        <f t="shared" si="253"/>
        <v>50</v>
      </c>
      <c r="K592" s="676">
        <f t="shared" ref="K592:K594" ca="1" si="254">IF(I592&gt;0,J592*100/I592,0)</f>
        <v>99.166997223324074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IFERROR(__xludf.DUMMYFUNCTION("IMPORTRANGE(""https://docs.google.com/spreadsheets/d/1QqKyyYR6Q21VydFLVH3TRQUabQu_ym0Zz7PgGX0-kHA/edit?usp=sharing"",""แผน!HJ84"")"),50.42)</f>
        <v>50.42</v>
      </c>
      <c r="J593" s="193">
        <f t="shared" ref="J593:J594" si="255">J595+J603+J609</f>
        <v>50</v>
      </c>
      <c r="K593" s="412">
        <f t="shared" ca="1" si="254"/>
        <v>99.166997223324074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IFERROR(__xludf.DUMMYFUNCTION("IMPORTRANGE(""https://docs.google.com/spreadsheets/d/1QqKyyYR6Q21VydFLVH3TRQUabQu_ym0Zz7PgGX0-kHA/edit?usp=sharing"",""แผน!HI84"")"),8)</f>
        <v>8</v>
      </c>
      <c r="J594" s="193">
        <f t="shared" si="255"/>
        <v>8</v>
      </c>
      <c r="K594" s="412">
        <f t="shared" ca="1" si="254"/>
        <v>100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50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8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50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8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IFERROR(__xludf.DUMMYFUNCTION("IMPORTRANGE(""https://docs.google.com/spreadsheets/d/1QqKyyYR6Q21VydFLVH3TRQUabQu_ym0Zz7PgGX0-kHA/edit?usp=sharing"",""แผน!HL84"")"),0)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IFERROR(__xludf.DUMMYFUNCTION("IMPORTRANGE(""https://docs.google.com/spreadsheets/d/1QqKyyYR6Q21VydFLVH3TRQUabQu_ym0Zz7PgGX0-kHA/edit?usp=sharing"",""แผน!HK84"")"),0)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120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384755</v>
      </c>
      <c r="M629" s="195">
        <f t="shared" ca="1" si="263"/>
        <v>384755</v>
      </c>
      <c r="N629" s="195">
        <f t="shared" si="263"/>
        <v>150461.66</v>
      </c>
      <c r="O629" s="195">
        <f t="shared" ref="O629:O634" ca="1" si="264">IF(L629&gt;0,N629*100/L629,0)</f>
        <v>39.105836181466131</v>
      </c>
      <c r="P629" s="195">
        <f t="shared" ref="P629:P634" ca="1" si="265">IF(M629&gt;0,N629*100/M629,0)</f>
        <v>39.105836181466131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384755</v>
      </c>
      <c r="M631" s="93">
        <f t="shared" ca="1" si="266"/>
        <v>384755</v>
      </c>
      <c r="N631" s="93">
        <f t="shared" si="266"/>
        <v>150461.66</v>
      </c>
      <c r="O631" s="93">
        <f t="shared" ca="1" si="264"/>
        <v>39.105836181466131</v>
      </c>
      <c r="P631" s="93">
        <f t="shared" ca="1" si="265"/>
        <v>39.105836181466131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384755</v>
      </c>
      <c r="M632" s="498">
        <f t="shared" ca="1" si="267"/>
        <v>384755</v>
      </c>
      <c r="N632" s="498">
        <f t="shared" si="267"/>
        <v>150461.66</v>
      </c>
      <c r="O632" s="498">
        <f t="shared" ca="1" si="264"/>
        <v>39.105836181466131</v>
      </c>
      <c r="P632" s="498">
        <f t="shared" ca="1" si="265"/>
        <v>39.105836181466131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IFERROR(__xludf.DUMMYFUNCTION("IMPORTRANGE(""https://docs.google.com/spreadsheets/d/1QqKyyYR6Q21VydFLVH3TRQUabQu_ym0Zz7PgGX0-kHA/edit?usp=sharing"",""แผน!HN84"")"),384755)</f>
        <v>384755</v>
      </c>
      <c r="M634" s="93">
        <f ca="1">L634</f>
        <v>384755</v>
      </c>
      <c r="N634" s="93">
        <f>N635+N636+N637+N638</f>
        <v>150461.66</v>
      </c>
      <c r="O634" s="93">
        <f t="shared" ca="1" si="264"/>
        <v>39.105836181466131</v>
      </c>
      <c r="P634" s="93">
        <f t="shared" ca="1" si="265"/>
        <v>39.105836181466131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103566.66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46895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IFERROR(__xludf.DUMMYFUNCTION("IMPORTRANGE(""https://docs.google.com/spreadsheets/d/1QqKyyYR6Q21VydFLVH3TRQUabQu_ym0Zz7PgGX0-kHA/edit?usp=sharing"",""แผน!HR84"")"),2)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IFERROR(__xludf.DUMMYFUNCTION("IMPORTRANGE(""https://docs.google.com/spreadsheets/d/1QqKyyYR6Q21VydFLVH3TRQUabQu_ym0Zz7PgGX0-kHA/edit?usp=sharing"",""แผน!HR84"")"),2)</f>
        <v>2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IFERROR(__xludf.DUMMYFUNCTION("IMPORTRANGE(""https://docs.google.com/spreadsheets/d/1XWAQStnk-4SwqDmLtmXYiTMKHgktTP8We1SCoS47DrQ/edit?usp=sharing"",""จัดที่ดิน!AS84"")"),0)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IFERROR(__xludf.DUMMYFUNCTION("IMPORTRANGE(""https://docs.google.com/spreadsheets/d/1XWAQStnk-4SwqDmLtmXYiTMKHgktTP8We1SCoS47DrQ/edit?usp=sharing"",""จัดที่ดิน!AT84"")"),0)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IFERROR(__xludf.DUMMYFUNCTION("IMPORTRANGE(""https://docs.google.com/spreadsheets/d/1QqKyyYR6Q21VydFLVH3TRQUabQu_ym0Zz7PgGX0-kHA/edit?usp=sharing"",""แผน!HS84"")"),120)</f>
        <v>120</v>
      </c>
      <c r="J647" s="270">
        <f ca="1">IFERROR(__xludf.DUMMYFUNCTION("IMPORTRANGE(""https://docs.google.com/spreadsheets/d/1XWAQStnk-4SwqDmLtmXYiTMKHgktTP8We1SCoS47DrQ/edit?usp=sharing"",""จัดที่ดิน!AU84"")"),0)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IFERROR(__xludf.DUMMYFUNCTION("IMPORTRANGE(""https://docs.google.com/spreadsheets/d/1XWAQStnk-4SwqDmLtmXYiTMKHgktTP8We1SCoS47DrQ/edit?usp=sharing"",""จัดที่ดิน!AV84"")"),0)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IFERROR(__xludf.DUMMYFUNCTION("IMPORTRANGE(""https://docs.google.com/spreadsheets/d/1QqKyyYR6Q21VydFLVH3TRQUabQu_ym0Zz7PgGX0-kHA/edit?usp=sharing"",""แผน!HS84"")"),120)</f>
        <v>120</v>
      </c>
      <c r="J649" s="270">
        <f ca="1">IFERROR(__xludf.DUMMYFUNCTION("IMPORTRANGE(""https://docs.google.com/spreadsheets/d/1XWAQStnk-4SwqDmLtmXYiTMKHgktTP8We1SCoS47DrQ/edit?usp=sharing"",""จัดที่ดิน!AW84"")"),0)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IFERROR(__xludf.DUMMYFUNCTION("IMPORTRANGE(""https://docs.google.com/spreadsheets/d/1XWAQStnk-4SwqDmLtmXYiTMKHgktTP8We1SCoS47DrQ/edit?usp=sharing"",""จัดที่ดิน!AX84"")"),0)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IFERROR(__xludf.DUMMYFUNCTION("IMPORTRANGE(""https://docs.google.com/spreadsheets/d/1QqKyyYR6Q21VydFLVH3TRQUabQu_ym0Zz7PgGX0-kHA/edit?usp=sharing"",""แผน!HS84"")"),120)</f>
        <v>120</v>
      </c>
      <c r="J651" s="270">
        <f ca="1">IFERROR(__xludf.DUMMYFUNCTION("IMPORTRANGE(""https://docs.google.com/spreadsheets/d/1XWAQStnk-4SwqDmLtmXYiTMKHgktTP8We1SCoS47DrQ/edit?usp=sharing"",""จัดที่ดิน!AY84"")"),0)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IFERROR(__xludf.DUMMYFUNCTION("IMPORTRANGE(""https://docs.google.com/spreadsheets/d/1XWAQStnk-4SwqDmLtmXYiTMKHgktTP8We1SCoS47DrQ/edit?usp=sharing"",""จัดที่ดิน!AZ84"")"),0)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8620</v>
      </c>
      <c r="O655" s="195">
        <f t="shared" ref="O655:O660" ca="1" si="274">IF(L655&gt;0,N655*100/L655,0)</f>
        <v>91.702127659574472</v>
      </c>
      <c r="P655" s="195">
        <f t="shared" ref="P655:P660" ca="1" si="275">IF(M655&gt;0,N655*100/M655,0)</f>
        <v>91.702127659574472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8620</v>
      </c>
      <c r="O657" s="93">
        <f t="shared" ca="1" si="274"/>
        <v>91.702127659574472</v>
      </c>
      <c r="P657" s="93">
        <f t="shared" ca="1" si="275"/>
        <v>91.702127659574472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9400</v>
      </c>
      <c r="M658" s="498">
        <f t="shared" ca="1" si="277"/>
        <v>9400</v>
      </c>
      <c r="N658" s="498">
        <f t="shared" si="277"/>
        <v>8620</v>
      </c>
      <c r="O658" s="498">
        <f t="shared" ca="1" si="274"/>
        <v>91.702127659574472</v>
      </c>
      <c r="P658" s="498">
        <f t="shared" ca="1" si="275"/>
        <v>91.702127659574472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IFERROR(__xludf.DUMMYFUNCTION("IMPORTRANGE(""https://docs.google.com/spreadsheets/d/1QqKyyYR6Q21VydFLVH3TRQUabQu_ym0Zz7PgGX0-kHA/edit?usp=sharing"",""แผน!HV84"")"),9400)</f>
        <v>9400</v>
      </c>
      <c r="M660" s="93">
        <f ca="1">L660</f>
        <v>9400</v>
      </c>
      <c r="N660" s="93">
        <f>N661+N662+N663+N664</f>
        <v>8620</v>
      </c>
      <c r="O660" s="93">
        <f t="shared" ca="1" si="274"/>
        <v>91.702127659574472</v>
      </c>
      <c r="P660" s="93">
        <f t="shared" ca="1" si="275"/>
        <v>91.702127659574472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8620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IFERROR(__xludf.DUMMYFUNCTION("IMPORTRANGE(""https://docs.google.com/spreadsheets/d/1QqKyyYR6Q21VydFLVH3TRQUabQu_ym0Zz7PgGX0-kHA/edit?usp=sharing"",""แผน!IA84"")"),50)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IFERROR(__xludf.DUMMYFUNCTION("IMPORTRANGE(""https://docs.google.com/spreadsheets/d/1QqKyyYR6Q21VydFLVH3TRQUabQu_ym0Zz7PgGX0-kHA/edit?usp=sharing"",""แผน!HZ84"")"),4)</f>
        <v>4</v>
      </c>
      <c r="J670" s="215">
        <v>4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IFERROR(__xludf.DUMMYFUNCTION("IMPORTRANGE(""https://docs.google.com/spreadsheets/d/1QqKyyYR6Q21VydFLVH3TRQUabQu_ym0Zz7PgGX0-kHA/edit?usp=sharing"",""แผน!HZ84"")"),4)</f>
        <v>4</v>
      </c>
      <c r="J671" s="215">
        <v>4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202</v>
      </c>
      <c r="K672" s="498">
        <f t="shared" ref="K672:K675" ca="1" si="281">IF(I$669&gt;0,J672*100/I$669,0)</f>
        <v>404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IFERROR(__xludf.DUMMYFUNCTION("IMPORTRANGE(""https://docs.google.com/spreadsheets/d/1QqKyyYR6Q21VydFLVH3TRQUabQu_ym0Zz7PgGX0-kHA/edit?usp=sharing"",""แผน!IB84"")"),0)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IFERROR(__xludf.DUMMYFUNCTION("IMPORTRANGE(""https://docs.google.com/spreadsheets/d/1QqKyyYR6Q21VydFLVH3TRQUabQu_ym0Zz7PgGX0-kHA/edit?usp=sharing"",""แผน!IC84"")"),0)</f>
        <v>0</v>
      </c>
      <c r="J699" s="270">
        <f ca="1">IFERROR(__xludf.DUMMYFUNCTION("IMPORTRANGE(""https://docs.google.com/spreadsheets/d/1XWAQStnk-4SwqDmLtmXYiTMKHgktTP8We1SCoS47DrQ/edit?usp=sharing"",""จัดที่ดิน!BB84"")"),0)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IFERROR(__xludf.DUMMYFUNCTION("IMPORTRANGE(""https://docs.google.com/spreadsheets/d/1QqKyyYR6Q21VydFLVH3TRQUabQu_ym0Zz7PgGX0-kHA/edit?usp=sharing"",""แผน!ID84"")"),0)</f>
        <v>0</v>
      </c>
      <c r="J700" s="270">
        <f ca="1">IFERROR(__xludf.DUMMYFUNCTION("IMPORTRANGE(""https://docs.google.com/spreadsheets/d/1XWAQStnk-4SwqDmLtmXYiTMKHgktTP8We1SCoS47DrQ/edit?usp=sharing"",""จัดที่ดิน!BD84"")"),0)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IFERROR(__xludf.DUMMYFUNCTION("IMPORTRANGE(""https://docs.google.com/spreadsheets/d/1QqKyyYR6Q21VydFLVH3TRQUabQu_ym0Zz7PgGX0-kHA/edit?usp=sharing"",""แผน!IE84"")"),0)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IFERROR(__xludf.DUMMYFUNCTION("IMPORTRANGE(""https://docs.google.com/spreadsheets/d/1QqKyyYR6Q21VydFLVH3TRQUabQu_ym0Zz7PgGX0-kHA/edit?usp=sharing"",""แผน!IF84"")"),0)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IFERROR(__xludf.DUMMYFUNCTION("IMPORTRANGE(""https://docs.google.com/spreadsheets/d/1QqKyyYR6Q21VydFLVH3TRQUabQu_ym0Zz7PgGX0-kHA/edit?usp=sharing"",""แผน!IG84"")"),0)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IFERROR(__xludf.DUMMYFUNCTION("IMPORTRANGE(""https://docs.google.com/spreadsheets/d/1QqKyyYR6Q21VydFLVH3TRQUabQu_ym0Zz7PgGX0-kHA/edit?usp=sharing"",""แผน!IH84"")"),0)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IFERROR(__xludf.DUMMYFUNCTION("IMPORTRANGE(""https://docs.google.com/spreadsheets/d/1XWAQStnk-4SwqDmLtmXYiTMKHgktTP8We1SCoS47DrQ/edit?usp=sharing"",""จัดที่ดิน!BF84"")"),0)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IFERROR(__xludf.DUMMYFUNCTION("IMPORTRANGE(""https://docs.google.com/spreadsheets/d/1XWAQStnk-4SwqDmLtmXYiTMKHgktTP8We1SCoS47DrQ/edit?usp=sharing"",""จัดที่ดิน!BG84"")"),0)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IFERROR(__xludf.DUMMYFUNCTION("IMPORTRANGE(""https://docs.google.com/spreadsheets/d/1QqKyyYR6Q21VydFLVH3TRQUabQu_ym0Zz7PgGX0-kHA/edit?usp=sharing"",""แผน!II84"")"),0)</f>
        <v>0</v>
      </c>
      <c r="J720" s="270">
        <f ca="1">IFERROR(__xludf.DUMMYFUNCTION("IMPORTRANGE(""https://docs.google.com/spreadsheets/d/1XWAQStnk-4SwqDmLtmXYiTMKHgktTP8We1SCoS47DrQ/edit?usp=sharing"",""จัดที่ดิน!BH84"")"),0)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IFERROR(__xludf.DUMMYFUNCTION("IMPORTRANGE(""https://docs.google.com/spreadsheets/d/1QqKyyYR6Q21VydFLVH3TRQUabQu_ym0Zz7PgGX0-kHA/edit?usp=sharing"",""แผน!IJ84"")"),0)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IFERROR(__xludf.DUMMYFUNCTION("IMPORTRANGE(""https://docs.google.com/spreadsheets/d/1QqKyyYR6Q21VydFLVH3TRQUabQu_ym0Zz7PgGX0-kHA/edit?usp=sharing"",""แผน!IK84"")"),0)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IFERROR(__xludf.DUMMYFUNCTION("IMPORTRANGE(""https://docs.google.com/spreadsheets/d/1QqKyyYR6Q21VydFLVH3TRQUabQu_ym0Zz7PgGX0-kHA/edit?usp=sharing"",""แผน!IL84"")"),0)</f>
        <v>0</v>
      </c>
      <c r="J723" s="270">
        <f ca="1">IFERROR(__xludf.DUMMYFUNCTION("IMPORTRANGE(""https://docs.google.com/spreadsheets/d/1XWAQStnk-4SwqDmLtmXYiTMKHgktTP8We1SCoS47DrQ/edit?usp=sharing"",""จัดที่ดิน!BM84"")"),0)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IFERROR(__xludf.DUMMYFUNCTION("IMPORTRANGE(""https://docs.google.com/spreadsheets/d/1XWAQStnk-4SwqDmLtmXYiTMKHgktTP8We1SCoS47DrQ/edit?usp=sharing"",""จัดที่ดิน!BN84"")"),0)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IFERROR(__xludf.DUMMYFUNCTION("IMPORTRANGE(""https://docs.google.com/spreadsheets/d/1QqKyyYR6Q21VydFLVH3TRQUabQu_ym0Zz7PgGX0-kHA/edit?usp=sharing"",""แผน!IM84"")"),0)</f>
        <v>0</v>
      </c>
      <c r="J725" s="270">
        <f ca="1">IFERROR(__xludf.DUMMYFUNCTION("IMPORTRANGE(""https://docs.google.com/spreadsheets/d/1XWAQStnk-4SwqDmLtmXYiTMKHgktTP8We1SCoS47DrQ/edit?usp=sharing"",""จัดที่ดิน!BO84"")"),0)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IFERROR(__xludf.DUMMYFUNCTION("IMPORTRANGE(""https://docs.google.com/spreadsheets/d/1QqKyyYR6Q21VydFLVH3TRQUabQu_ym0Zz7PgGX0-kHA/edit?usp=sharing"",""แผน!IN84"")"),0)</f>
        <v>0</v>
      </c>
      <c r="J726" s="270">
        <f ca="1">IFERROR(__xludf.DUMMYFUNCTION("IMPORTRANGE(""https://docs.google.com/spreadsheets/d/1XWAQStnk-4SwqDmLtmXYiTMKHgktTP8We1SCoS47DrQ/edit?usp=sharing"",""จัดที่ดิน!BR84"")"),0)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IFERROR(__xludf.DUMMYFUNCTION("IMPORTRANGE(""https://docs.google.com/spreadsheets/d/1XWAQStnk-4SwqDmLtmXYiTMKHgktTP8We1SCoS47DrQ/edit?usp=sharing"",""จัดที่ดิน!BS84"")"),0)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IFERROR(__xludf.DUMMYFUNCTION("IMPORTRANGE(""https://docs.google.com/spreadsheets/d/1QqKyyYR6Q21VydFLVH3TRQUabQu_ym0Zz7PgGX0-kHA/edit?usp=sharing"",""แผน!IO84"")"),0)</f>
        <v>0</v>
      </c>
      <c r="J728" s="270">
        <f ca="1">IFERROR(__xludf.DUMMYFUNCTION("IMPORTRANGE(""https://docs.google.com/spreadsheets/d/1XWAQStnk-4SwqDmLtmXYiTMKHgktTP8We1SCoS47DrQ/edit?usp=sharing"",""จัดที่ดิน!BT84"")"),0)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IFERROR(__xludf.DUMMYFUNCTION("IMPORTRANGE(""https://docs.google.com/spreadsheets/d/1QqKyyYR6Q21VydFLVH3TRQUabQu_ym0Zz7PgGX0-kHA/edit?usp=sharing"",""แผน!IP84"")"),0)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IFERROR(__xludf.DUMMYFUNCTION("IMPORTRANGE(""https://docs.google.com/spreadsheets/d/1QqKyyYR6Q21VydFLVH3TRQUabQu_ym0Zz7PgGX0-kHA/edit?usp=sharing"",""แผน!JN84"")"),0)</f>
        <v>0</v>
      </c>
      <c r="J800" s="184">
        <f ca="1">IFERROR(__xludf.DUMMYFUNCTION("IMPORTRANGE(""https://docs.google.com/spreadsheets/d/1MaWodYyGHDf7siQLGxnXhG4mBNTNIuy296niS2xXulU/edit?usp=sharing"",""RTK!H84"")"),0)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IFERROR(__xludf.DUMMYFUNCTION("IMPORTRANGE(""https://docs.google.com/spreadsheets/d/1MaWodYyGHDf7siQLGxnXhG4mBNTNIuy296niS2xXulU/edit?usp=sharing"",""RTK!I84"")"),0)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341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IFERROR(__xludf.DUMMYFUNCTION("IMPORTRANGE(""https://docs.google.com/spreadsheets/d/19vJNZY_5yjcGF2XGBMNZRCAIB0Kwfpjp8YEOfu-bneM/edit?usp=sharing"",""งานกองทุน!D84"")"),743551.53)</f>
        <v>743551.53</v>
      </c>
      <c r="J821" s="270">
        <f ca="1">IFERROR(__xludf.DUMMYFUNCTION("IMPORTRANGE(""https://docs.google.com/spreadsheets/d/19vJNZY_5yjcGF2XGBMNZRCAIB0Kwfpjp8YEOfu-bneM/edit?usp=sharing"",""งานกองทุน!F84"")"),528049.75)</f>
        <v>528049.75</v>
      </c>
      <c r="K821" s="498">
        <f t="shared" ref="K821:K828" ca="1" si="335">IF(I821&gt;0,J821*100/I821,0)</f>
        <v>71.017236693736606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IFERROR(__xludf.DUMMYFUNCTION("IMPORTRANGE(""https://docs.google.com/spreadsheets/d/19vJNZY_5yjcGF2XGBMNZRCAIB0Kwfpjp8YEOfu-bneM/edit?usp=sharing"",""งานกองทุน!C84"")"),68)</f>
        <v>68</v>
      </c>
      <c r="J822" s="270">
        <f ca="1">IFERROR(__xludf.DUMMYFUNCTION("IMPORTRANGE(""https://docs.google.com/spreadsheets/d/19vJNZY_5yjcGF2XGBMNZRCAIB0Kwfpjp8YEOfu-bneM/edit?usp=sharing"",""งานกองทุน!E84"")"),54)</f>
        <v>54</v>
      </c>
      <c r="K822" s="498">
        <f t="shared" ca="1" si="335"/>
        <v>79.411764705882348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IFERROR(__xludf.DUMMYFUNCTION("IMPORTRANGE(""https://docs.google.com/spreadsheets/d/19vJNZY_5yjcGF2XGBMNZRCAIB0Kwfpjp8YEOfu-bneM/edit?usp=sharing"",""งานกองทุน!I84"")"),35881.65)</f>
        <v>35881.65</v>
      </c>
      <c r="J823" s="270">
        <f ca="1">IFERROR(__xludf.DUMMYFUNCTION("IMPORTRANGE(""https://docs.google.com/spreadsheets/d/19vJNZY_5yjcGF2XGBMNZRCAIB0Kwfpjp8YEOfu-bneM/edit?usp=sharing"",""งานกองทุน!K84"")"),26751.11)</f>
        <v>26751.11</v>
      </c>
      <c r="K823" s="498">
        <f t="shared" ca="1" si="335"/>
        <v>74.553734290368467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IFERROR(__xludf.DUMMYFUNCTION("IMPORTRANGE(""https://docs.google.com/spreadsheets/d/19vJNZY_5yjcGF2XGBMNZRCAIB0Kwfpjp8YEOfu-bneM/edit?usp=sharing"",""งานกองทุน!H84"")"),2)</f>
        <v>2</v>
      </c>
      <c r="J824" s="270">
        <f ca="1">IFERROR(__xludf.DUMMYFUNCTION("IMPORTRANGE(""https://docs.google.com/spreadsheets/d/19vJNZY_5yjcGF2XGBMNZRCAIB0Kwfpjp8YEOfu-bneM/edit?usp=sharing"",""งานกองทุน!J84"")"),2)</f>
        <v>2</v>
      </c>
      <c r="K824" s="498">
        <f t="shared" ca="1" si="335"/>
        <v>100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IFERROR(__xludf.DUMMYFUNCTION("IMPORTRANGE(""https://docs.google.com/spreadsheets/d/19vJNZY_5yjcGF2XGBMNZRCAIB0Kwfpjp8YEOfu-bneM/edit?usp=sharing"",""งานกองทุน!N84"")"),58877.9)</f>
        <v>58877.9</v>
      </c>
      <c r="J825" s="270">
        <f ca="1">IFERROR(__xludf.DUMMYFUNCTION("IMPORTRANGE(""https://docs.google.com/spreadsheets/d/19vJNZY_5yjcGF2XGBMNZRCAIB0Kwfpjp8YEOfu-bneM/edit?usp=sharing"",""งานกองทุน!P84"")"),31309.25)</f>
        <v>31309.25</v>
      </c>
      <c r="K825" s="498">
        <f t="shared" ca="1" si="335"/>
        <v>53.17657389275093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IFERROR(__xludf.DUMMYFUNCTION("IMPORTRANGE(""https://docs.google.com/spreadsheets/d/19vJNZY_5yjcGF2XGBMNZRCAIB0Kwfpjp8YEOfu-bneM/edit?usp=sharing"",""งานกองทุน!M84"")"),149)</f>
        <v>149</v>
      </c>
      <c r="J826" s="270">
        <f ca="1">IFERROR(__xludf.DUMMYFUNCTION("IMPORTRANGE(""https://docs.google.com/spreadsheets/d/19vJNZY_5yjcGF2XGBMNZRCAIB0Kwfpjp8YEOfu-bneM/edit?usp=sharing"",""งานกองทุน!O84"")"),84)</f>
        <v>84</v>
      </c>
      <c r="K826" s="498">
        <f t="shared" ca="1" si="335"/>
        <v>56.375838926174495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IFERROR(__xludf.DUMMYFUNCTION("IMPORTRANGE(""https://docs.google.com/spreadsheets/d/19vJNZY_5yjcGF2XGBMNZRCAIB0Kwfpjp8YEOfu-bneM/edit?usp=sharing"",""งานกองทุน!S84"")"),300000)</f>
        <v>300000</v>
      </c>
      <c r="J827" s="270">
        <f ca="1">IFERROR(__xludf.DUMMYFUNCTION("IMPORTRANGE(""https://docs.google.com/spreadsheets/d/19vJNZY_5yjcGF2XGBMNZRCAIB0Kwfpjp8YEOfu-bneM/edit?usp=sharing"",""งานกองทุน!U84"")"),300000)</f>
        <v>300000</v>
      </c>
      <c r="K827" s="498">
        <f t="shared" ca="1" si="335"/>
        <v>100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IFERROR(__xludf.DUMMYFUNCTION("IMPORTRANGE(""https://docs.google.com/spreadsheets/d/19vJNZY_5yjcGF2XGBMNZRCAIB0Kwfpjp8YEOfu-bneM/edit?usp=sharing"",""งานกองทุน!R84"")"),12)</f>
        <v>12</v>
      </c>
      <c r="J828" s="505">
        <f ca="1">IFERROR(__xludf.DUMMYFUNCTION("IMPORTRANGE(""https://docs.google.com/spreadsheets/d/19vJNZY_5yjcGF2XGBMNZRCAIB0Kwfpjp8YEOfu-bneM/edit?usp=sharing"",""งานกองทุน!T84"")"),6)</f>
        <v>6</v>
      </c>
      <c r="K828" s="506">
        <f t="shared" ca="1" si="335"/>
        <v>50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3A1D1-60C8-40A0-B087-A29392845FB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350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3915568</v>
      </c>
      <c r="M8" s="22">
        <f t="shared" ca="1" si="0"/>
        <v>4054521.94</v>
      </c>
      <c r="N8" s="22">
        <f t="shared" ca="1" si="0"/>
        <v>2240769.7999999998</v>
      </c>
      <c r="O8" s="22">
        <f t="shared" ref="O8:O16" ca="1" si="1">IF(L8&gt;0,N8*100/L8,0)</f>
        <v>57.227196667252358</v>
      </c>
      <c r="P8" s="22">
        <f t="shared" ref="P8:P16" ca="1" si="2">IF(M8&gt;0,N8*100/M8,0)</f>
        <v>55.265943387643865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3915568</v>
      </c>
      <c r="M10" s="30">
        <f t="shared" ca="1" si="3"/>
        <v>4054521.94</v>
      </c>
      <c r="N10" s="30">
        <f t="shared" ca="1" si="3"/>
        <v>2240769.7999999998</v>
      </c>
      <c r="O10" s="30">
        <f t="shared" ca="1" si="1"/>
        <v>57.227196667252358</v>
      </c>
      <c r="P10" s="30">
        <f t="shared" ca="1" si="2"/>
        <v>55.265943387643865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3869568</v>
      </c>
      <c r="M11" s="498">
        <f t="shared" ca="1" si="4"/>
        <v>3990921.94</v>
      </c>
      <c r="N11" s="498">
        <f t="shared" ca="1" si="4"/>
        <v>2194769.7999999998</v>
      </c>
      <c r="O11" s="498">
        <f t="shared" ca="1" si="1"/>
        <v>56.718729325857552</v>
      </c>
      <c r="P11" s="498">
        <f t="shared" ca="1" si="2"/>
        <v>54.994054832352838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3869568</v>
      </c>
      <c r="M13" s="93">
        <f t="shared" ca="1" si="5"/>
        <v>3990921.94</v>
      </c>
      <c r="N13" s="93">
        <f t="shared" ca="1" si="5"/>
        <v>2194769.7999999998</v>
      </c>
      <c r="O13" s="93">
        <f t="shared" ca="1" si="1"/>
        <v>56.718729325857552</v>
      </c>
      <c r="P13" s="93">
        <f t="shared" ca="1" si="2"/>
        <v>54.994054832352838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46000</v>
      </c>
      <c r="M14" s="498">
        <f t="shared" ca="1" si="6"/>
        <v>63600</v>
      </c>
      <c r="N14" s="498">
        <f t="shared" ca="1" si="6"/>
        <v>46000</v>
      </c>
      <c r="O14" s="498">
        <f t="shared" ca="1" si="1"/>
        <v>100</v>
      </c>
      <c r="P14" s="498">
        <f t="shared" ca="1" si="2"/>
        <v>72.327044025157235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46000</v>
      </c>
      <c r="M16" s="52">
        <f t="shared" ca="1" si="7"/>
        <v>63600</v>
      </c>
      <c r="N16" s="52">
        <f t="shared" ca="1" si="7"/>
        <v>46000</v>
      </c>
      <c r="O16" s="52">
        <f t="shared" ca="1" si="1"/>
        <v>100</v>
      </c>
      <c r="P16" s="52">
        <f t="shared" ca="1" si="2"/>
        <v>72.327044025157235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2215590</v>
      </c>
      <c r="M18" s="22">
        <f t="shared" ca="1" si="8"/>
        <v>2354543.94</v>
      </c>
      <c r="N18" s="22">
        <f t="shared" ca="1" si="8"/>
        <v>1761309.05</v>
      </c>
      <c r="O18" s="22">
        <f t="shared" ref="O18:O26" ca="1" si="9">IF(L18&gt;0,N18*100/L18,0)</f>
        <v>79.496163550115313</v>
      </c>
      <c r="P18" s="22">
        <f t="shared" ref="P18:P26" ca="1" si="10">IF(M18&gt;0,N18*100/M18,0)</f>
        <v>74.804679584786172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2215590</v>
      </c>
      <c r="M20" s="30">
        <f t="shared" ca="1" si="11"/>
        <v>2354543.94</v>
      </c>
      <c r="N20" s="30">
        <f t="shared" ca="1" si="11"/>
        <v>1761309.05</v>
      </c>
      <c r="O20" s="30">
        <f t="shared" ca="1" si="9"/>
        <v>79.496163550115313</v>
      </c>
      <c r="P20" s="30">
        <f t="shared" ca="1" si="10"/>
        <v>74.804679584786172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2169590</v>
      </c>
      <c r="M21" s="498">
        <f t="shared" ca="1" si="12"/>
        <v>2290943.94</v>
      </c>
      <c r="N21" s="498">
        <f t="shared" ca="1" si="12"/>
        <v>1715309.05</v>
      </c>
      <c r="O21" s="498">
        <f t="shared" ca="1" si="9"/>
        <v>79.061437875358934</v>
      </c>
      <c r="P21" s="498">
        <f t="shared" ca="1" si="10"/>
        <v>74.873462420909348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2169590</v>
      </c>
      <c r="M23" s="93">
        <f t="shared" ca="1" si="13"/>
        <v>2290943.94</v>
      </c>
      <c r="N23" s="93">
        <f t="shared" ca="1" si="13"/>
        <v>1715309.05</v>
      </c>
      <c r="O23" s="93">
        <f t="shared" ca="1" si="9"/>
        <v>79.061437875358934</v>
      </c>
      <c r="P23" s="93">
        <f t="shared" ca="1" si="10"/>
        <v>74.873462420909348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46000</v>
      </c>
      <c r="M24" s="498">
        <f t="shared" ca="1" si="14"/>
        <v>63600</v>
      </c>
      <c r="N24" s="498">
        <f t="shared" ca="1" si="14"/>
        <v>46000</v>
      </c>
      <c r="O24" s="498">
        <f t="shared" ca="1" si="9"/>
        <v>100</v>
      </c>
      <c r="P24" s="498">
        <f t="shared" ca="1" si="10"/>
        <v>72.327044025157235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46000</v>
      </c>
      <c r="M26" s="52">
        <f t="shared" ca="1" si="15"/>
        <v>63600</v>
      </c>
      <c r="N26" s="52">
        <f t="shared" ca="1" si="15"/>
        <v>46000</v>
      </c>
      <c r="O26" s="52">
        <f t="shared" ca="1" si="9"/>
        <v>100</v>
      </c>
      <c r="P26" s="52">
        <f t="shared" ca="1" si="10"/>
        <v>72.327044025157235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1699978</v>
      </c>
      <c r="M28" s="22">
        <f t="shared" ca="1" si="16"/>
        <v>1699978</v>
      </c>
      <c r="N28" s="22">
        <f t="shared" si="16"/>
        <v>479460.75</v>
      </c>
      <c r="O28" s="22">
        <f t="shared" ref="O28:O37" ca="1" si="17">IF(L28&gt;0,N28*100/L28,0)</f>
        <v>28.203938521557337</v>
      </c>
      <c r="P28" s="22">
        <f t="shared" ref="P28:P37" ca="1" si="18">IF(M28&gt;0,N28*100/M28,0)</f>
        <v>28.203938521557337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1699978</v>
      </c>
      <c r="M30" s="30">
        <f t="shared" ca="1" si="19"/>
        <v>1699978</v>
      </c>
      <c r="N30" s="30">
        <f t="shared" si="19"/>
        <v>479460.75</v>
      </c>
      <c r="O30" s="30">
        <f t="shared" ca="1" si="17"/>
        <v>28.203938521557337</v>
      </c>
      <c r="P30" s="30">
        <f t="shared" ca="1" si="18"/>
        <v>28.203938521557337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1699978</v>
      </c>
      <c r="M31" s="498">
        <f t="shared" ca="1" si="20"/>
        <v>1699978</v>
      </c>
      <c r="N31" s="498">
        <f t="shared" si="20"/>
        <v>479460.75</v>
      </c>
      <c r="O31" s="498">
        <f t="shared" ca="1" si="17"/>
        <v>28.203938521557337</v>
      </c>
      <c r="P31" s="498">
        <f t="shared" ca="1" si="18"/>
        <v>28.203938521557337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1699978</v>
      </c>
      <c r="M33" s="93">
        <f t="shared" ca="1" si="21"/>
        <v>1699978</v>
      </c>
      <c r="N33" s="93">
        <f t="shared" si="21"/>
        <v>479460.75</v>
      </c>
      <c r="O33" s="93">
        <f t="shared" ca="1" si="17"/>
        <v>28.203938521557337</v>
      </c>
      <c r="P33" s="93">
        <f t="shared" ca="1" si="18"/>
        <v>28.203938521557337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2215590</v>
      </c>
      <c r="M37" s="858">
        <f t="shared" ca="1" si="24"/>
        <v>2354543.94</v>
      </c>
      <c r="N37" s="858">
        <f t="shared" ca="1" si="24"/>
        <v>1761309.05</v>
      </c>
      <c r="O37" s="899">
        <f t="shared" ca="1" si="17"/>
        <v>79.496163550115313</v>
      </c>
      <c r="P37" s="900">
        <f t="shared" ca="1" si="18"/>
        <v>74.804679584786172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193600</v>
      </c>
      <c r="M41" s="85">
        <f t="shared" ca="1" si="25"/>
        <v>254393.94</v>
      </c>
      <c r="N41" s="85">
        <f t="shared" ca="1" si="25"/>
        <v>200393.94</v>
      </c>
      <c r="O41" s="85">
        <f t="shared" ref="O41:O49" ca="1" si="26">IF(L41&gt;0,N41*100/L41,0)</f>
        <v>103.50926652892562</v>
      </c>
      <c r="P41" s="85">
        <f t="shared" ref="P41:P49" ca="1" si="27">IF(M41&gt;0,N41*100/M41,0)</f>
        <v>78.77307926438813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193600</v>
      </c>
      <c r="M43" s="92">
        <f t="shared" ca="1" si="28"/>
        <v>254393.94</v>
      </c>
      <c r="N43" s="92">
        <f t="shared" ca="1" si="28"/>
        <v>200393.94</v>
      </c>
      <c r="O43" s="92">
        <f t="shared" ca="1" si="26"/>
        <v>103.50926652892562</v>
      </c>
      <c r="P43" s="92">
        <f t="shared" ca="1" si="27"/>
        <v>78.77307926438813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193600</v>
      </c>
      <c r="M44" s="498">
        <f t="shared" ca="1" si="29"/>
        <v>254393.94</v>
      </c>
      <c r="N44" s="498">
        <f t="shared" ca="1" si="29"/>
        <v>200393.94</v>
      </c>
      <c r="O44" s="498">
        <f t="shared" ca="1" si="26"/>
        <v>103.50926652892562</v>
      </c>
      <c r="P44" s="498">
        <f t="shared" ca="1" si="27"/>
        <v>78.77307926438813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IFERROR(__xludf.DUMMYFUNCTION("IMPORTRANGE(""https://docs.google.com/spreadsheets/d/1MeEWN-I1oV_STSDYn1IFDPWt_1FKiwhDph83XaGc0o0/edit?usp=sharing"",""งบพรบ!M85"")"),193600)</f>
        <v>193600</v>
      </c>
      <c r="M46" s="93">
        <f ca="1">IFERROR(__xludf.DUMMYFUNCTION("IMPORTRANGE(""https://docs.google.com/spreadsheets/d/1MeEWN-I1oV_STSDYn1IFDPWt_1FKiwhDph83XaGc0o0/edit?usp=sharing"",""งบพรบ!R85"")"),254393.94)</f>
        <v>254393.94</v>
      </c>
      <c r="N46" s="93">
        <f ca="1">IFERROR(__xludf.DUMMYFUNCTION("IMPORTRANGE(""https://docs.google.com/spreadsheets/d/1MeEWN-I1oV_STSDYn1IFDPWt_1FKiwhDph83XaGc0o0/edit?usp=sharing"",""งบพรบ!T85"")"),200393.94)</f>
        <v>200393.94</v>
      </c>
      <c r="O46" s="93">
        <f t="shared" ca="1" si="26"/>
        <v>103.50926652892562</v>
      </c>
      <c r="P46" s="93">
        <f t="shared" ca="1" si="27"/>
        <v>78.77307926438813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IFERROR(__xludf.DUMMYFUNCTION("IMPORTRANGE(""https://docs.google.com/spreadsheets/d/1MeEWN-I1oV_STSDYn1IFDPWt_1FKiwhDph83XaGc0o0/edit?usp=sharing"",""งบพรบ!P85"")"),0)</f>
        <v>0</v>
      </c>
      <c r="M49" s="52">
        <f ca="1">IFERROR(__xludf.DUMMYFUNCTION("IMPORTRANGE(""https://docs.google.com/spreadsheets/d/1MeEWN-I1oV_STSDYn1IFDPWt_1FKiwhDph83XaGc0o0/edit?usp=sharing"",""งบพรบ!S85"")"),0)</f>
        <v>0</v>
      </c>
      <c r="N49" s="52">
        <f ca="1">IFERROR(__xludf.DUMMYFUNCTION("IMPORTRANGE(""https://docs.google.com/spreadsheets/d/1MeEWN-I1oV_STSDYn1IFDPWt_1FKiwhDph83XaGc0o0/edit?usp=sharing"",""งบพรบ!U85"")"),0)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640900</v>
      </c>
      <c r="M53" s="116">
        <f t="shared" ca="1" si="31"/>
        <v>662000</v>
      </c>
      <c r="N53" s="116">
        <f t="shared" ca="1" si="31"/>
        <v>519556.78</v>
      </c>
      <c r="O53" s="116">
        <f t="shared" ref="O53:O61" ca="1" si="32">IF(L53&gt;0,N53*100/L53,0)</f>
        <v>81.066746762365426</v>
      </c>
      <c r="P53" s="116">
        <f t="shared" ref="P53:P61" ca="1" si="33">IF(M53&gt;0,N53*100/M53,0)</f>
        <v>78.482897280966768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640900</v>
      </c>
      <c r="M55" s="123">
        <f t="shared" ca="1" si="34"/>
        <v>662000</v>
      </c>
      <c r="N55" s="123">
        <f t="shared" ca="1" si="34"/>
        <v>519556.78</v>
      </c>
      <c r="O55" s="123">
        <f t="shared" ca="1" si="32"/>
        <v>81.066746762365426</v>
      </c>
      <c r="P55" s="123">
        <f t="shared" ca="1" si="33"/>
        <v>78.482897280966768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640900</v>
      </c>
      <c r="M56" s="498">
        <f t="shared" ca="1" si="35"/>
        <v>653400</v>
      </c>
      <c r="N56" s="498">
        <f t="shared" ca="1" si="35"/>
        <v>519556.78</v>
      </c>
      <c r="O56" s="498">
        <f t="shared" ca="1" si="32"/>
        <v>81.066746762365426</v>
      </c>
      <c r="P56" s="498">
        <f t="shared" ca="1" si="33"/>
        <v>79.515883073155806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IFERROR(__xludf.DUMMYFUNCTION("IMPORTRANGE(""https://docs.google.com/spreadsheets/d/1MeEWN-I1oV_STSDYn1IFDPWt_1FKiwhDph83XaGc0o0/edit?usp=sharing"",""งบพรบ!W85"")"),640900)</f>
        <v>640900</v>
      </c>
      <c r="M58" s="93">
        <f ca="1">IFERROR(__xludf.DUMMYFUNCTION("IMPORTRANGE(""https://docs.google.com/spreadsheets/d/1MeEWN-I1oV_STSDYn1IFDPWt_1FKiwhDph83XaGc0o0/edit?usp=sharing"",""งบพรบ!AB85"")"),653400)</f>
        <v>653400</v>
      </c>
      <c r="N58" s="93">
        <f ca="1">IFERROR(__xludf.DUMMYFUNCTION("IMPORTRANGE(""https://docs.google.com/spreadsheets/d/1MeEWN-I1oV_STSDYn1IFDPWt_1FKiwhDph83XaGc0o0/edit?usp=sharing"",""งบพรบ!AD85"")"),519556.78)</f>
        <v>519556.78</v>
      </c>
      <c r="O58" s="93">
        <f t="shared" ca="1" si="32"/>
        <v>81.066746762365426</v>
      </c>
      <c r="P58" s="93">
        <f t="shared" ca="1" si="33"/>
        <v>79.515883073155806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8600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IFERROR(__xludf.DUMMYFUNCTION("IMPORTRANGE(""https://docs.google.com/spreadsheets/d/1MeEWN-I1oV_STSDYn1IFDPWt_1FKiwhDph83XaGc0o0/edit?usp=sharing"",""งบพรบ!Z85"")"),0)</f>
        <v>0</v>
      </c>
      <c r="M61" s="52">
        <f ca="1">IFERROR(__xludf.DUMMYFUNCTION("IMPORTRANGE(""https://docs.google.com/spreadsheets/d/1MeEWN-I1oV_STSDYn1IFDPWt_1FKiwhDph83XaGc0o0/edit?usp=sharing"",""งบพรบ!AC85"")"),8600)</f>
        <v>8600</v>
      </c>
      <c r="N61" s="52">
        <f ca="1">IFERROR(__xludf.DUMMYFUNCTION("IMPORTRANGE(""https://docs.google.com/spreadsheets/d/1MeEWN-I1oV_STSDYn1IFDPWt_1FKiwhDph83XaGc0o0/edit?usp=sharing"",""งบพรบ!AE85"")"),0)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IFERROR(__xludf.DUMMYFUNCTION("IMPORTRANGE(""https://docs.google.com/spreadsheets/d/1MeEWN-I1oV_STSDYn1IFDPWt_1FKiwhDph83XaGc0o0/edit?usp=sharing"",""งบพรบ!AG85"")"),0)</f>
        <v>0</v>
      </c>
      <c r="M71" s="93">
        <f ca="1">IFERROR(__xludf.DUMMYFUNCTION("IMPORTRANGE(""https://docs.google.com/spreadsheets/d/1MeEWN-I1oV_STSDYn1IFDPWt_1FKiwhDph83XaGc0o0/edit?usp=sharing"",""งบพรบ!AL85"")"),0)</f>
        <v>0</v>
      </c>
      <c r="N71" s="93">
        <f ca="1">IFERROR(__xludf.DUMMYFUNCTION("IMPORTRANGE(""https://docs.google.com/spreadsheets/d/1MeEWN-I1oV_STSDYn1IFDPWt_1FKiwhDph83XaGc0o0/edit?usp=sharing"",""งบพรบ!AN85"")"),0)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IFERROR(__xludf.DUMMYFUNCTION("IMPORTRANGE(""https://docs.google.com/spreadsheets/d/1MeEWN-I1oV_STSDYn1IFDPWt_1FKiwhDph83XaGc0o0/edit?usp=sharing"",""งบพรบ!AJ85"")"),0)</f>
        <v>0</v>
      </c>
      <c r="M74" s="93">
        <f ca="1">IFERROR(__xludf.DUMMYFUNCTION("IMPORTRANGE(""https://docs.google.com/spreadsheets/d/1MeEWN-I1oV_STSDYn1IFDPWt_1FKiwhDph83XaGc0o0/edit?usp=sharing"",""งบพรบ!AM85"")"),0)</f>
        <v>0</v>
      </c>
      <c r="N74" s="93">
        <f ca="1">IFERROR(__xludf.DUMMYFUNCTION("IMPORTRANGE(""https://docs.google.com/spreadsheets/d/1MeEWN-I1oV_STSDYn1IFDPWt_1FKiwhDph83XaGc0o0/edit?usp=sharing"",""งบพรบ!AO85"")"),0)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376140</v>
      </c>
      <c r="M88" s="155">
        <f t="shared" ca="1" si="49"/>
        <v>376140</v>
      </c>
      <c r="N88" s="155">
        <f t="shared" ca="1" si="49"/>
        <v>319011.03999999998</v>
      </c>
      <c r="O88" s="155">
        <f t="shared" ref="O88:O96" ca="1" si="50">IF(L88&gt;0,N88*100/L88,0)</f>
        <v>84.811782846812349</v>
      </c>
      <c r="P88" s="155">
        <f t="shared" ref="P88:P96" ca="1" si="51">IF(M88&gt;0,N88*100/M88,0)</f>
        <v>84.811782846812349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376140</v>
      </c>
      <c r="M90" s="93">
        <f t="shared" ca="1" si="52"/>
        <v>376140</v>
      </c>
      <c r="N90" s="93">
        <f t="shared" ca="1" si="52"/>
        <v>319011.03999999998</v>
      </c>
      <c r="O90" s="93">
        <f t="shared" ca="1" si="50"/>
        <v>84.811782846812349</v>
      </c>
      <c r="P90" s="93">
        <f t="shared" ca="1" si="51"/>
        <v>84.811782846812349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376140</v>
      </c>
      <c r="M91" s="498">
        <f t="shared" ca="1" si="53"/>
        <v>376140</v>
      </c>
      <c r="N91" s="498">
        <f t="shared" ca="1" si="53"/>
        <v>319011.03999999998</v>
      </c>
      <c r="O91" s="498">
        <f t="shared" ca="1" si="50"/>
        <v>84.811782846812349</v>
      </c>
      <c r="P91" s="498">
        <f t="shared" ca="1" si="51"/>
        <v>84.811782846812349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IFERROR(__xludf.DUMMYFUNCTION("IMPORTRANGE(""https://docs.google.com/spreadsheets/d/1MeEWN-I1oV_STSDYn1IFDPWt_1FKiwhDph83XaGc0o0/edit?usp=sharing"",""งบพรบ!AQ85"")"),376140)</f>
        <v>376140</v>
      </c>
      <c r="M93" s="93">
        <f ca="1">IFERROR(__xludf.DUMMYFUNCTION("IMPORTRANGE(""https://docs.google.com/spreadsheets/d/1MeEWN-I1oV_STSDYn1IFDPWt_1FKiwhDph83XaGc0o0/edit?usp=sharing"",""งบพรบ!AV85"")"),376140)</f>
        <v>376140</v>
      </c>
      <c r="N93" s="93">
        <f ca="1">IFERROR(__xludf.DUMMYFUNCTION("IMPORTRANGE(""https://docs.google.com/spreadsheets/d/1MeEWN-I1oV_STSDYn1IFDPWt_1FKiwhDph83XaGc0o0/edit?usp=sharing"",""งบพรบ!AX85"")"),319011.04)</f>
        <v>319011.03999999998</v>
      </c>
      <c r="O93" s="93">
        <f t="shared" ca="1" si="50"/>
        <v>84.811782846812349</v>
      </c>
      <c r="P93" s="93">
        <f t="shared" ca="1" si="51"/>
        <v>84.811782846812349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IFERROR(__xludf.DUMMYFUNCTION("IMPORTRANGE(""https://docs.google.com/spreadsheets/d/1MeEWN-I1oV_STSDYn1IFDPWt_1FKiwhDph83XaGc0o0/edit?usp=sharing"",""งบพรบ!AT85"")"),0)</f>
        <v>0</v>
      </c>
      <c r="M96" s="93">
        <f ca="1">IFERROR(__xludf.DUMMYFUNCTION("IMPORTRANGE(""https://docs.google.com/spreadsheets/d/1MeEWN-I1oV_STSDYn1IFDPWt_1FKiwhDph83XaGc0o0/edit?usp=sharing"",""งบพรบ!AW85"")"),0)</f>
        <v>0</v>
      </c>
      <c r="N96" s="93">
        <f ca="1">IFERROR(__xludf.DUMMYFUNCTION("IMPORTRANGE(""https://docs.google.com/spreadsheets/d/1MeEWN-I1oV_STSDYn1IFDPWt_1FKiwhDph83XaGc0o0/edit?usp=sharing"",""งบพรบ!AY85"")"),0)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IFERROR(__xludf.DUMMYFUNCTION("IMPORTRANGE(""https://docs.google.com/spreadsheets/d/1QqKyyYR6Q21VydFLVH3TRQUabQu_ym0Zz7PgGX0-kHA/edit?usp=sharing"",""แผน!K85"")"),30)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IFERROR(__xludf.DUMMYFUNCTION("IMPORTRANGE(""https://docs.google.com/spreadsheets/d/1QqKyyYR6Q21VydFLVH3TRQUabQu_ym0Zz7PgGX0-kHA/edit?usp=sharing"",""แผน!L85"")"),10)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IFERROR(__xludf.DUMMYFUNCTION("IMPORTRANGE(""https://docs.google.com/spreadsheets/d/1QqKyyYR6Q21VydFLVH3TRQUabQu_ym0Zz7PgGX0-kHA/edit?usp=sharing"",""แผน!M85"")"),2)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IFERROR(__xludf.DUMMYFUNCTION("IMPORTRANGE(""https://docs.google.com/spreadsheets/d/1QqKyyYR6Q21VydFLVH3TRQUabQu_ym0Zz7PgGX0-kHA/edit?usp=sharing"",""แผน!N85"")"),30)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IFERROR(__xludf.DUMMYFUNCTION("IMPORTRANGE(""https://docs.google.com/spreadsheets/d/1QqKyyYR6Q21VydFLVH3TRQUabQu_ym0Zz7PgGX0-kHA/edit?usp=sharing"",""แผน!O85"")"),10)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IFERROR(__xludf.DUMMYFUNCTION("IMPORTRANGE(""https://docs.google.com/spreadsheets/d/1QqKyyYR6Q21VydFLVH3TRQUabQu_ym0Zz7PgGX0-kHA/edit?usp=sharing"",""แผน!O85"")"),10)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IFERROR(__xludf.DUMMYFUNCTION("IMPORTRANGE(""https://docs.google.com/spreadsheets/d/1QqKyyYR6Q21VydFLVH3TRQUabQu_ym0Zz7PgGX0-kHA/edit?usp=sharing"",""แผน!P85"")"),1)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IFERROR(__xludf.DUMMYFUNCTION("IMPORTRANGE(""https://docs.google.com/spreadsheets/d/1QqKyyYR6Q21VydFLVH3TRQUabQu_ym0Zz7PgGX0-kHA/edit?usp=sharing"",""แผน!P85"")"),1)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IFERROR(__xludf.DUMMYFUNCTION("IMPORTRANGE(""https://docs.google.com/spreadsheets/d/1QqKyyYR6Q21VydFLVH3TRQUabQu_ym0Zz7PgGX0-kHA/edit?usp=sharing"",""แผน!Q85"")"),1)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IFERROR(__xludf.DUMMYFUNCTION("IMPORTRANGE(""https://docs.google.com/spreadsheets/d/1QqKyyYR6Q21VydFLVH3TRQUabQu_ym0Zz7PgGX0-kHA/edit?usp=sharing"",""แผน!Q85"")"),1)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IFERROR(__xludf.DUMMYFUNCTION("IMPORTRANGE(""https://docs.google.com/spreadsheets/d/1QqKyyYR6Q21VydFLVH3TRQUabQu_ym0Zz7PgGX0-kHA/edit?usp=sharing"",""แผน!R85"")"),10)</f>
        <v>10</v>
      </c>
      <c r="J111" s="680">
        <f>J114</f>
        <v>10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2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IFERROR(__xludf.DUMMYFUNCTION("IMPORTRANGE(""https://docs.google.com/spreadsheets/d/1QqKyyYR6Q21VydFLVH3TRQUabQu_ym0Zz7PgGX0-kHA/edit?usp=sharing"",""แผน!R85"")"),10)</f>
        <v>10</v>
      </c>
      <c r="J113" s="215">
        <v>10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IFERROR(__xludf.DUMMYFUNCTION("IMPORTRANGE(""https://docs.google.com/spreadsheets/d/1QqKyyYR6Q21VydFLVH3TRQUabQu_ym0Zz7PgGX0-kHA/edit?usp=sharing"",""แผน!R85"")"),10)</f>
        <v>10</v>
      </c>
      <c r="J114" s="215">
        <v>10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IFERROR(__xludf.DUMMYFUNCTION("IMPORTRANGE(""https://docs.google.com/spreadsheets/d/1QqKyyYR6Q21VydFLVH3TRQUabQu_ym0Zz7PgGX0-kHA/edit?usp=sharing"",""แผน!S85"")"),1)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IFERROR(__xludf.DUMMYFUNCTION("IMPORTRANGE(""https://docs.google.com/spreadsheets/d/1QqKyyYR6Q21VydFLVH3TRQUabQu_ym0Zz7PgGX0-kHA/edit?usp=sharing"",""แผน!T85"")"),1)</f>
        <v>1</v>
      </c>
      <c r="J116" s="215">
        <v>1</v>
      </c>
      <c r="K116" s="498">
        <f t="shared" ca="1" si="5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IFERROR(__xludf.DUMMYFUNCTION("IMPORTRANGE(""https://docs.google.com/spreadsheets/d/1MeEWN-I1oV_STSDYn1IFDPWt_1FKiwhDph83XaGc0o0/edit?usp=sharing"",""งบพรบ!BA85"")"),0)</f>
        <v>0</v>
      </c>
      <c r="M124" s="93">
        <f ca="1">IFERROR(__xludf.DUMMYFUNCTION("IMPORTRANGE(""https://docs.google.com/spreadsheets/d/1MeEWN-I1oV_STSDYn1IFDPWt_1FKiwhDph83XaGc0o0/edit?usp=sharing"",""งบพรบ!BF85"")"),0)</f>
        <v>0</v>
      </c>
      <c r="N124" s="93">
        <f ca="1">IFERROR(__xludf.DUMMYFUNCTION("IMPORTRANGE(""https://docs.google.com/spreadsheets/d/1MeEWN-I1oV_STSDYn1IFDPWt_1FKiwhDph83XaGc0o0/edit?usp=sharing"",""งบพรบ!BH85"")"),0)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IFERROR(__xludf.DUMMYFUNCTION("IMPORTRANGE(""https://docs.google.com/spreadsheets/d/1MeEWN-I1oV_STSDYn1IFDPWt_1FKiwhDph83XaGc0o0/edit?usp=sharing"",""งบพรบ!BD85"")"),0)</f>
        <v>0</v>
      </c>
      <c r="M127" s="93">
        <f ca="1">IFERROR(__xludf.DUMMYFUNCTION("IMPORTRANGE(""https://docs.google.com/spreadsheets/d/1MeEWN-I1oV_STSDYn1IFDPWt_1FKiwhDph83XaGc0o0/edit?usp=sharing"",""งบพรบ!BG85"")"),0)</f>
        <v>0</v>
      </c>
      <c r="N127" s="93">
        <f ca="1">IFERROR(__xludf.DUMMYFUNCTION("IMPORTRANGE(""https://docs.google.com/spreadsheets/d/1MeEWN-I1oV_STSDYn1IFDPWt_1FKiwhDph83XaGc0o0/edit?usp=sharing"",""งบพรบ!BI85"")"),0)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IFERROR(__xludf.DUMMYFUNCTION("IMPORTRANGE(""https://docs.google.com/spreadsheets/d/1MeEWN-I1oV_STSDYn1IFDPWt_1FKiwhDph83XaGc0o0/edit?usp=sharing"",""งบพรบ!BK85"")"),0)</f>
        <v>0</v>
      </c>
      <c r="M137" s="93">
        <f ca="1">IFERROR(__xludf.DUMMYFUNCTION("IMPORTRANGE(""https://docs.google.com/spreadsheets/d/1MeEWN-I1oV_STSDYn1IFDPWt_1FKiwhDph83XaGc0o0/edit?usp=sharing"",""งบพรบ!BP85"")"),0)</f>
        <v>0</v>
      </c>
      <c r="N137" s="93">
        <f ca="1">IFERROR(__xludf.DUMMYFUNCTION("IMPORTRANGE(""https://docs.google.com/spreadsheets/d/1MeEWN-I1oV_STSDYn1IFDPWt_1FKiwhDph83XaGc0o0/edit?usp=sharing"",""งบพรบ!BR85"")"),0)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IFERROR(__xludf.DUMMYFUNCTION("IMPORTRANGE(""https://docs.google.com/spreadsheets/d/1MeEWN-I1oV_STSDYn1IFDPWt_1FKiwhDph83XaGc0o0/edit?usp=sharing"",""งบพรบ!BN85"")"),0)</f>
        <v>0</v>
      </c>
      <c r="M140" s="93">
        <f ca="1">IFERROR(__xludf.DUMMYFUNCTION("IMPORTRANGE(""https://docs.google.com/spreadsheets/d/1MeEWN-I1oV_STSDYn1IFDPWt_1FKiwhDph83XaGc0o0/edit?usp=sharing"",""งบพรบ!BQ85"")"),0)</f>
        <v>0</v>
      </c>
      <c r="N140" s="93">
        <f ca="1">IFERROR(__xludf.DUMMYFUNCTION("IMPORTRANGE(""https://docs.google.com/spreadsheets/d/1MeEWN-I1oV_STSDYn1IFDPWt_1FKiwhDph83XaGc0o0/edit?usp=sharing"",""งบพรบ!BS85"")"),0)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IFERROR(__xludf.DUMMYFUNCTION("IMPORTRANGE(""https://docs.google.com/spreadsheets/d/1QqKyyYR6Q21VydFLVH3TRQUabQu_ym0Zz7PgGX0-kHA/edit?usp=sharing"",""แผน!U85"")"),0)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IFERROR(__xludf.DUMMYFUNCTION("IMPORTRANGE(""https://docs.google.com/spreadsheets/d/1QqKyyYR6Q21VydFLVH3TRQUabQu_ym0Zz7PgGX0-kHA/edit?usp=sharing"",""แผน!V85"")"),0)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IFERROR(__xludf.DUMMYFUNCTION("IMPORTRANGE(""https://docs.google.com/spreadsheets/d/1QqKyyYR6Q21VydFLVH3TRQUabQu_ym0Zz7PgGX0-kHA/edit?usp=sharing"",""แผน!W85"")"),0)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IFERROR(__xludf.DUMMYFUNCTION("IMPORTRANGE(""https://docs.google.com/spreadsheets/d/1MeEWN-I1oV_STSDYn1IFDPWt_1FKiwhDph83XaGc0o0/edit?usp=sharing"",""งบพรบ!BU85"")"),0)</f>
        <v>0</v>
      </c>
      <c r="M154" s="93">
        <f ca="1">IFERROR(__xludf.DUMMYFUNCTION("IMPORTRANGE(""https://docs.google.com/spreadsheets/d/1MeEWN-I1oV_STSDYn1IFDPWt_1FKiwhDph83XaGc0o0/edit?usp=sharing"",""งบพรบ!BZ85"")"),0)</f>
        <v>0</v>
      </c>
      <c r="N154" s="93">
        <f ca="1">IFERROR(__xludf.DUMMYFUNCTION("IMPORTRANGE(""https://docs.google.com/spreadsheets/d/1MeEWN-I1oV_STSDYn1IFDPWt_1FKiwhDph83XaGc0o0/edit?usp=sharing"",""งบพรบ!CB85"")"),0)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IFERROR(__xludf.DUMMYFUNCTION("IMPORTRANGE(""https://docs.google.com/spreadsheets/d/1MeEWN-I1oV_STSDYn1IFDPWt_1FKiwhDph83XaGc0o0/edit?usp=sharing"",""งบพรบ!BX85"")"),0)</f>
        <v>0</v>
      </c>
      <c r="M157" s="93">
        <f ca="1">IFERROR(__xludf.DUMMYFUNCTION("IMPORTRANGE(""https://docs.google.com/spreadsheets/d/1MeEWN-I1oV_STSDYn1IFDPWt_1FKiwhDph83XaGc0o0/edit?usp=sharing"",""งบพรบ!CA85"")"),0)</f>
        <v>0</v>
      </c>
      <c r="N157" s="93">
        <f ca="1">IFERROR(__xludf.DUMMYFUNCTION("IMPORTRANGE(""https://docs.google.com/spreadsheets/d/1MeEWN-I1oV_STSDYn1IFDPWt_1FKiwhDph83XaGc0o0/edit?usp=sharing"",""งบพรบ!CC85"")"),0)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IFERROR(__xludf.DUMMYFUNCTION("IMPORTRANGE(""https://docs.google.com/spreadsheets/d/1QqKyyYR6Q21VydFLVH3TRQUabQu_ym0Zz7PgGX0-kHA/edit?usp=sharing"",""แผน!X85"")"),0)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36610</v>
      </c>
      <c r="N165" s="155">
        <f t="shared" ca="1" si="84"/>
        <v>36610</v>
      </c>
      <c r="O165" s="155">
        <f t="shared" ref="O165:O173" ca="1" si="85">IF(L165&gt;0,N165*100/L165,0)</f>
        <v>173.91923990498813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36610</v>
      </c>
      <c r="N167" s="93">
        <f t="shared" ca="1" si="87"/>
        <v>36610</v>
      </c>
      <c r="O167" s="93">
        <f t="shared" ca="1" si="85"/>
        <v>173.91923990498813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36610</v>
      </c>
      <c r="N168" s="498">
        <f t="shared" ca="1" si="88"/>
        <v>36610</v>
      </c>
      <c r="O168" s="498">
        <f t="shared" ca="1" si="85"/>
        <v>173.91923990498813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IFERROR(__xludf.DUMMYFUNCTION("IMPORTRANGE(""https://docs.google.com/spreadsheets/d/1MeEWN-I1oV_STSDYn1IFDPWt_1FKiwhDph83XaGc0o0/edit?usp=sharing"",""งบพรบ!CE85"")"),21050)</f>
        <v>21050</v>
      </c>
      <c r="M170" s="93">
        <f ca="1">IFERROR(__xludf.DUMMYFUNCTION("IMPORTRANGE(""https://docs.google.com/spreadsheets/d/1MeEWN-I1oV_STSDYn1IFDPWt_1FKiwhDph83XaGc0o0/edit?usp=sharing"",""งบพรบ!CJ85"")"),36610)</f>
        <v>36610</v>
      </c>
      <c r="N170" s="93">
        <f ca="1">IFERROR(__xludf.DUMMYFUNCTION("IMPORTRANGE(""https://docs.google.com/spreadsheets/d/1MeEWN-I1oV_STSDYn1IFDPWt_1FKiwhDph83XaGc0o0/edit?usp=sharing"",""งบพรบ!CL85"")"),36610)</f>
        <v>36610</v>
      </c>
      <c r="O170" s="93">
        <f t="shared" ca="1" si="85"/>
        <v>173.91923990498813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IFERROR(__xludf.DUMMYFUNCTION("IMPORTRANGE(""https://docs.google.com/spreadsheets/d/1MeEWN-I1oV_STSDYn1IFDPWt_1FKiwhDph83XaGc0o0/edit?usp=sharing"",""งบพรบ!CH85"")"),0)</f>
        <v>0</v>
      </c>
      <c r="M173" s="93">
        <f ca="1">IFERROR(__xludf.DUMMYFUNCTION("IMPORTRANGE(""https://docs.google.com/spreadsheets/d/1MeEWN-I1oV_STSDYn1IFDPWt_1FKiwhDph83XaGc0o0/edit?usp=sharing"",""งบพรบ!CK85"")"),0)</f>
        <v>0</v>
      </c>
      <c r="N173" s="93">
        <f ca="1">IFERROR(__xludf.DUMMYFUNCTION("IMPORTRANGE(""https://docs.google.com/spreadsheets/d/1MeEWN-I1oV_STSDYn1IFDPWt_1FKiwhDph83XaGc0o0/edit?usp=sharing"",""งบพรบ!CM85"")"),0)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IFERROR(__xludf.DUMMYFUNCTION("IMPORTRANGE(""https://docs.google.com/spreadsheets/d/1QqKyyYR6Q21VydFLVH3TRQUabQu_ym0Zz7PgGX0-kHA/edit?usp=sharing"",""แผน!Y85"")"),10)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182100</v>
      </c>
      <c r="M181" s="155">
        <f t="shared" ca="1" si="92"/>
        <v>182100</v>
      </c>
      <c r="N181" s="155">
        <f t="shared" ca="1" si="92"/>
        <v>86360</v>
      </c>
      <c r="O181" s="155">
        <f t="shared" ref="O181:O189" ca="1" si="93">IF(L181&gt;0,N181*100/L181,0)</f>
        <v>47.424492037342119</v>
      </c>
      <c r="P181" s="155">
        <f t="shared" ref="P181:P189" ca="1" si="94">IF(M181&gt;0,N181*100/M181,0)</f>
        <v>47.424492037342119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182100</v>
      </c>
      <c r="M183" s="93">
        <f t="shared" ca="1" si="95"/>
        <v>182100</v>
      </c>
      <c r="N183" s="93">
        <f t="shared" ca="1" si="95"/>
        <v>86360</v>
      </c>
      <c r="O183" s="93">
        <f t="shared" ca="1" si="93"/>
        <v>47.424492037342119</v>
      </c>
      <c r="P183" s="93">
        <f t="shared" ca="1" si="94"/>
        <v>47.424492037342119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182100</v>
      </c>
      <c r="M184" s="498">
        <f t="shared" ca="1" si="96"/>
        <v>182100</v>
      </c>
      <c r="N184" s="498">
        <f t="shared" ca="1" si="96"/>
        <v>86360</v>
      </c>
      <c r="O184" s="498">
        <f t="shared" ca="1" si="93"/>
        <v>47.424492037342119</v>
      </c>
      <c r="P184" s="498">
        <f t="shared" ca="1" si="94"/>
        <v>47.424492037342119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IFERROR(__xludf.DUMMYFUNCTION("IMPORTRANGE(""https://docs.google.com/spreadsheets/d/1MeEWN-I1oV_STSDYn1IFDPWt_1FKiwhDph83XaGc0o0/edit?usp=sharing"",""งบพรบ!CO85"")"),182100)</f>
        <v>182100</v>
      </c>
      <c r="M186" s="93">
        <f ca="1">IFERROR(__xludf.DUMMYFUNCTION("IMPORTRANGE(""https://docs.google.com/spreadsheets/d/1MeEWN-I1oV_STSDYn1IFDPWt_1FKiwhDph83XaGc0o0/edit?usp=sharing"",""งบพรบ!CT85"")"),182100)</f>
        <v>182100</v>
      </c>
      <c r="N186" s="93">
        <f ca="1">IFERROR(__xludf.DUMMYFUNCTION("IMPORTRANGE(""https://docs.google.com/spreadsheets/d/1MeEWN-I1oV_STSDYn1IFDPWt_1FKiwhDph83XaGc0o0/edit?usp=sharing"",""งบพรบ!CV85"")"),86360)</f>
        <v>86360</v>
      </c>
      <c r="O186" s="93">
        <f t="shared" ca="1" si="93"/>
        <v>47.424492037342119</v>
      </c>
      <c r="P186" s="93">
        <f t="shared" ca="1" si="94"/>
        <v>47.424492037342119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IFERROR(__xludf.DUMMYFUNCTION("IMPORTRANGE(""https://docs.google.com/spreadsheets/d/1MeEWN-I1oV_STSDYn1IFDPWt_1FKiwhDph83XaGc0o0/edit?usp=sharing"",""งบพรบ!CR85"")"),0)</f>
        <v>0</v>
      </c>
      <c r="M189" s="93">
        <f ca="1">IFERROR(__xludf.DUMMYFUNCTION("IMPORTRANGE(""https://docs.google.com/spreadsheets/d/1MeEWN-I1oV_STSDYn1IFDPWt_1FKiwhDph83XaGc0o0/edit?usp=sharing"",""งบพรบ!CU85"")"),0)</f>
        <v>0</v>
      </c>
      <c r="N189" s="93">
        <f ca="1">IFERROR(__xludf.DUMMYFUNCTION("IMPORTRANGE(""https://docs.google.com/spreadsheets/d/1MeEWN-I1oV_STSDYn1IFDPWt_1FKiwhDph83XaGc0o0/edit?usp=sharing"",""งบพรบ!CW85"")"),0)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IFERROR(__xludf.DUMMYFUNCTION("IMPORTRANGE(""https://docs.google.com/spreadsheets/d/1QqKyyYR6Q21VydFLVH3TRQUabQu_ym0Zz7PgGX0-kHA/edit?usp=sharing"",""แผน!Z85"")"),6000)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IFERROR(__xludf.DUMMYFUNCTION("IMPORTRANGE(""https://docs.google.com/spreadsheets/d/1QqKyyYR6Q21VydFLVH3TRQUabQu_ym0Zz7PgGX0-kHA/edit?usp=sharing"",""แผน!AC85"")"),4)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133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133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15535</v>
      </c>
      <c r="O198" s="155">
        <f ca="1">IF(L198&gt;0,N198*100/L198,0)</f>
        <v>59.75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IFERROR(__xludf.DUMMYFUNCTION("IMPORTRANGE(""https://docs.google.com/spreadsheets/d/1QqKyyYR6Q21VydFLVH3TRQUabQu_ym0Zz7PgGX0-kHA/edit?usp=sharing"",""แผน!AE85"")"),2000)</f>
        <v>2000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IFERROR(__xludf.DUMMYFUNCTION("IMPORTRANGE(""https://docs.google.com/spreadsheets/d/1QqKyyYR6Q21VydFLVH3TRQUabQu_ym0Zz7PgGX0-kHA/edit?usp=sharing"",""แผน!AF85"")"),16000)</f>
        <v>16000</v>
      </c>
      <c r="M200" s="498"/>
      <c r="N200" s="826">
        <v>15535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IFERROR(__xludf.DUMMYFUNCTION("IMPORTRANGE(""https://docs.google.com/spreadsheets/d/1QqKyyYR6Q21VydFLVH3TRQUabQu_ym0Zz7PgGX0-kHA/edit?usp=sharing"",""แผน!AG85"")"),8000)</f>
        <v>8000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IFERROR(__xludf.DUMMYFUNCTION("IMPORTRANGE(""https://docs.google.com/spreadsheets/d/1QqKyyYR6Q21VydFLVH3TRQUabQu_ym0Zz7PgGX0-kHA/edit?usp=sharing"",""แผน!AH85"")"),0)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IFERROR(__xludf.DUMMYFUNCTION("IMPORTRANGE(""https://docs.google.com/spreadsheets/d/1QqKyyYR6Q21VydFLVH3TRQUabQu_ym0Zz7PgGX0-kHA/edit?usp=sharing"",""แผน!AI85"")"),2)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IFERROR(__xludf.DUMMYFUNCTION("IMPORTRANGE(""https://docs.google.com/spreadsheets/d/1QqKyyYR6Q21VydFLVH3TRQUabQu_ym0Zz7PgGX0-kHA/edit?usp=sharing"",""แผน!AK85"")"),0)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IFERROR(__xludf.DUMMYFUNCTION("IMPORTRANGE(""https://docs.google.com/spreadsheets/d/1QqKyyYR6Q21VydFLVH3TRQUabQu_ym0Zz7PgGX0-kHA/edit?usp=sharing"",""แผน!AL85"")"),0)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IFERROR(__xludf.DUMMYFUNCTION("IMPORTRANGE(""https://docs.google.com/spreadsheets/d/1QqKyyYR6Q21VydFLVH3TRQUabQu_ym0Zz7PgGX0-kHA/edit?usp=sharing"",""แผน!AM85"")"),0)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IFERROR(__xludf.DUMMYFUNCTION("IMPORTRANGE(""https://docs.google.com/spreadsheets/d/1QqKyyYR6Q21VydFLVH3TRQUabQu_ym0Zz7PgGX0-kHA/edit?usp=sharing"",""แผน!AN85"")"),0)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IFERROR(__xludf.DUMMYFUNCTION("IMPORTRANGE(""https://docs.google.com/spreadsheets/d/1QqKyyYR6Q21VydFLVH3TRQUabQu_ym0Zz7PgGX0-kHA/edit?usp=sharing"",""แผน!AN85"")"),0)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12800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7100</v>
      </c>
      <c r="M217" s="155"/>
      <c r="N217" s="155">
        <f>N218+N219+N220</f>
        <v>4500</v>
      </c>
      <c r="O217" s="155">
        <f ca="1">IF(L217&gt;0,N217*100/L217,0)</f>
        <v>63.380281690140848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IFERROR(__xludf.DUMMYFUNCTION("IMPORTRANGE(""https://docs.google.com/spreadsheets/d/1QqKyyYR6Q21VydFLVH3TRQUabQu_ym0Zz7PgGX0-kHA/edit?usp=sharing"",""แผน!AP85"")"),3000)</f>
        <v>3000</v>
      </c>
      <c r="M218" s="498"/>
      <c r="N218" s="826">
        <v>2500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IFERROR(__xludf.DUMMYFUNCTION("IMPORTRANGE(""https://docs.google.com/spreadsheets/d/1QqKyyYR6Q21VydFLVH3TRQUabQu_ym0Zz7PgGX0-kHA/edit?usp=sharing"",""แผน!AQ85"")"),4100)</f>
        <v>4100</v>
      </c>
      <c r="M219" s="498"/>
      <c r="N219" s="826">
        <v>2000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IFERROR(__xludf.DUMMYFUNCTION("IMPORTRANGE(""https://docs.google.com/spreadsheets/d/1QqKyyYR6Q21VydFLVH3TRQUabQu_ym0Zz7PgGX0-kHA/edit?usp=sharing"",""แผน!AR85"")"),0)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IFERROR(__xludf.DUMMYFUNCTION("IMPORTRANGE(""https://docs.google.com/spreadsheets/d/1QqKyyYR6Q21VydFLVH3TRQUabQu_ym0Zz7PgGX0-kHA/edit?usp=sharing"",""แผน!AT85"")"),12800)</f>
        <v>12800</v>
      </c>
      <c r="J223" s="215">
        <v>12800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IFERROR(__xludf.DUMMYFUNCTION("IMPORTRANGE(""https://docs.google.com/spreadsheets/d/1QqKyyYR6Q21VydFLVH3TRQUabQu_ym0Zz7PgGX0-kHA/edit?usp=sharing"",""แผน!AT85"")"),12800)</f>
        <v>12800</v>
      </c>
      <c r="J224" s="215">
        <v>12800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IFERROR(__xludf.DUMMYFUNCTION("IMPORTRANGE(""https://docs.google.com/spreadsheets/d/1QqKyyYR6Q21VydFLVH3TRQUabQu_ym0Zz7PgGX0-kHA/edit?usp=sharing"",""แผน!AS85"")"),0)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IFERROR(__xludf.DUMMYFUNCTION("IMPORTRANGE(""https://docs.google.com/spreadsheets/d/1QqKyyYR6Q21VydFLVH3TRQUabQu_ym0Zz7PgGX0-kHA/edit?usp=sharing"",""แผน!AV85"")"),0)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IFERROR(__xludf.DUMMYFUNCTION("IMPORTRANGE(""https://docs.google.com/spreadsheets/d/1QqKyyYR6Q21VydFLVH3TRQUabQu_ym0Zz7PgGX0-kHA/edit?usp=sharing"",""แผน!AW85"")"),0)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IFERROR(__xludf.DUMMYFUNCTION("IMPORTRANGE(""https://docs.google.com/spreadsheets/d/1QqKyyYR6Q21VydFLVH3TRQUabQu_ym0Zz7PgGX0-kHA/edit?usp=sharing"",""แผน!AX85"")"),0)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IFERROR(__xludf.DUMMYFUNCTION("IMPORTRANGE(""https://docs.google.com/spreadsheets/d/1QqKyyYR6Q21VydFLVH3TRQUabQu_ym0Zz7PgGX0-kHA/edit?usp=sharing"",""แผน!AY85"")"),0)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IFERROR(__xludf.DUMMYFUNCTION("IMPORTRANGE(""https://docs.google.com/spreadsheets/d/1QqKyyYR6Q21VydFLVH3TRQUabQu_ym0Zz7PgGX0-kHA/edit?usp=sharing"",""แผน!BE85"")"),0)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IFERROR(__xludf.DUMMYFUNCTION("IMPORTRANGE(""https://docs.google.com/spreadsheets/d/1QqKyyYR6Q21VydFLVH3TRQUabQu_ym0Zz7PgGX0-kHA/edit?usp=sharing"",""แผน!AZ85"")"),0)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IFERROR(__xludf.DUMMYFUNCTION("IMPORTRANGE(""https://docs.google.com/spreadsheets/d/1QqKyyYR6Q21VydFLVH3TRQUabQu_ym0Zz7PgGX0-kHA/edit?usp=sharing"",""แผน!BA85"")"),0)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IFERROR(__xludf.DUMMYFUNCTION("IMPORTRANGE(""https://docs.google.com/spreadsheets/d/1QqKyyYR6Q21VydFLVH3TRQUabQu_ym0Zz7PgGX0-kHA/edit?usp=sharing"",""แผน!BB85"")"),0)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IFERROR(__xludf.DUMMYFUNCTION("IMPORTRANGE(""https://docs.google.com/spreadsheets/d/1QqKyyYR6Q21VydFLVH3TRQUabQu_ym0Zz7PgGX0-kHA/edit?usp=sharing"",""แผน!BC85"")"),0)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IFERROR(__xludf.DUMMYFUNCTION("IMPORTRANGE(""https://docs.google.com/spreadsheets/d/1QqKyyYR6Q21VydFLVH3TRQUabQu_ym0Zz7PgGX0-kHA/edit?usp=sharing"",""แผน!BF85"")"),0)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18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23100</v>
      </c>
      <c r="M261" s="155">
        <f t="shared" ca="1" si="116"/>
        <v>23100</v>
      </c>
      <c r="N261" s="155">
        <f t="shared" ca="1" si="116"/>
        <v>16620</v>
      </c>
      <c r="O261" s="155">
        <f t="shared" ref="O261:O269" ca="1" si="117">IF(L261&gt;0,N261*100/L261,0)</f>
        <v>71.948051948051955</v>
      </c>
      <c r="P261" s="155">
        <f t="shared" ref="P261:P269" ca="1" si="118">IF(M261&gt;0,N261*100/M261,0)</f>
        <v>71.948051948051955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23100</v>
      </c>
      <c r="M263" s="93">
        <f t="shared" ca="1" si="119"/>
        <v>23100</v>
      </c>
      <c r="N263" s="93">
        <f t="shared" ca="1" si="119"/>
        <v>16620</v>
      </c>
      <c r="O263" s="93">
        <f t="shared" ca="1" si="117"/>
        <v>71.948051948051955</v>
      </c>
      <c r="P263" s="93">
        <f t="shared" ca="1" si="118"/>
        <v>71.948051948051955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23100</v>
      </c>
      <c r="M264" s="498">
        <f t="shared" ca="1" si="120"/>
        <v>23100</v>
      </c>
      <c r="N264" s="498">
        <f t="shared" ca="1" si="120"/>
        <v>16620</v>
      </c>
      <c r="O264" s="498">
        <f t="shared" ca="1" si="117"/>
        <v>71.948051948051955</v>
      </c>
      <c r="P264" s="498">
        <f t="shared" ca="1" si="118"/>
        <v>71.948051948051955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IFERROR(__xludf.DUMMYFUNCTION("IMPORTRANGE(""https://docs.google.com/spreadsheets/d/1MeEWN-I1oV_STSDYn1IFDPWt_1FKiwhDph83XaGc0o0/edit?usp=sharing"",""งบพรบ!CY85"")"),23100)</f>
        <v>23100</v>
      </c>
      <c r="M266" s="93">
        <f ca="1">IFERROR(__xludf.DUMMYFUNCTION("IMPORTRANGE(""https://docs.google.com/spreadsheets/d/1MeEWN-I1oV_STSDYn1IFDPWt_1FKiwhDph83XaGc0o0/edit?usp=sharing"",""งบพรบ!DD85"")"),23100)</f>
        <v>23100</v>
      </c>
      <c r="N266" s="93">
        <f ca="1">IFERROR(__xludf.DUMMYFUNCTION("IMPORTRANGE(""https://docs.google.com/spreadsheets/d/1MeEWN-I1oV_STSDYn1IFDPWt_1FKiwhDph83XaGc0o0/edit?usp=sharing"",""งบพรบ!DF85"")"),16620)</f>
        <v>16620</v>
      </c>
      <c r="O266" s="93">
        <f t="shared" ca="1" si="117"/>
        <v>71.948051948051955</v>
      </c>
      <c r="P266" s="93">
        <f t="shared" ca="1" si="118"/>
        <v>71.948051948051955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IFERROR(__xludf.DUMMYFUNCTION("IMPORTRANGE(""https://docs.google.com/spreadsheets/d/1MeEWN-I1oV_STSDYn1IFDPWt_1FKiwhDph83XaGc0o0/edit?usp=sharing"",""งบพรบ!DB85"")"),0)</f>
        <v>0</v>
      </c>
      <c r="M269" s="93">
        <f ca="1">IFERROR(__xludf.DUMMYFUNCTION("IMPORTRANGE(""https://docs.google.com/spreadsheets/d/1MeEWN-I1oV_STSDYn1IFDPWt_1FKiwhDph83XaGc0o0/edit?usp=sharing"",""งบพรบ!DE85"")"),0)</f>
        <v>0</v>
      </c>
      <c r="N269" s="93">
        <f ca="1">IFERROR(__xludf.DUMMYFUNCTION("IMPORTRANGE(""https://docs.google.com/spreadsheets/d/1MeEWN-I1oV_STSDYn1IFDPWt_1FKiwhDph83XaGc0o0/edit?usp=sharing"",""งบพรบ!DG85"")"),0)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IFERROR(__xludf.DUMMYFUNCTION("IMPORTRANGE(""https://docs.google.com/spreadsheets/d/1QqKyyYR6Q21VydFLVH3TRQUabQu_ym0Zz7PgGX0-kHA/edit?usp=sharing"",""แผน!EA85"")"),18)</f>
        <v>18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IFERROR(__xludf.DUMMYFUNCTION("IMPORTRANGE(""https://docs.google.com/spreadsheets/d/1MeEWN-I1oV_STSDYn1IFDPWt_1FKiwhDph83XaGc0o0/edit?usp=sharing"",""งบพรบ!DI85"")"),0)</f>
        <v>0</v>
      </c>
      <c r="M282" s="93">
        <f ca="1">IFERROR(__xludf.DUMMYFUNCTION("IMPORTRANGE(""https://docs.google.com/spreadsheets/d/1MeEWN-I1oV_STSDYn1IFDPWt_1FKiwhDph83XaGc0o0/edit?usp=sharing"",""งบพรบ!DN85"")"),0)</f>
        <v>0</v>
      </c>
      <c r="N282" s="93">
        <f ca="1">IFERROR(__xludf.DUMMYFUNCTION("IMPORTRANGE(""https://docs.google.com/spreadsheets/d/1MeEWN-I1oV_STSDYn1IFDPWt_1FKiwhDph83XaGc0o0/edit?usp=sharing"",""งบพรบ!DP85"")"),0)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IFERROR(__xludf.DUMMYFUNCTION("IMPORTRANGE(""https://docs.google.com/spreadsheets/d/1MeEWN-I1oV_STSDYn1IFDPWt_1FKiwhDph83XaGc0o0/edit?usp=sharing"",""งบพรบ!DL85"")"),0)</f>
        <v>0</v>
      </c>
      <c r="M285" s="93">
        <f ca="1">IFERROR(__xludf.DUMMYFUNCTION("IMPORTRANGE(""https://docs.google.com/spreadsheets/d/1MeEWN-I1oV_STSDYn1IFDPWt_1FKiwhDph83XaGc0o0/edit?usp=sharing"",""งบพรบ!DO85"")"),0)</f>
        <v>0</v>
      </c>
      <c r="N285" s="93">
        <f ca="1">IFERROR(__xludf.DUMMYFUNCTION("IMPORTRANGE(""https://docs.google.com/spreadsheets/d/1MeEWN-I1oV_STSDYn1IFDPWt_1FKiwhDph83XaGc0o0/edit?usp=sharing"",""งบพรบ!DQ85"")"),0)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IFERROR(__xludf.DUMMYFUNCTION("IMPORTRANGE(""https://docs.google.com/spreadsheets/d/1QqKyyYR6Q21VydFLVH3TRQUabQu_ym0Zz7PgGX0-kHA/edit?usp=sharing"",""แผน!EC85"")"),0)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IFERROR(__xludf.DUMMYFUNCTION("IMPORTRANGE(""https://docs.google.com/spreadsheets/d/1QqKyyYR6Q21VydFLVH3TRQUabQu_ym0Zz7PgGX0-kHA/edit?usp=sharing"",""แผน!EB85"")"),0)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IFERROR(__xludf.DUMMYFUNCTION("IMPORTRANGE(""https://docs.google.com/spreadsheets/d/1QqKyyYR6Q21VydFLVH3TRQUabQu_ym0Zz7PgGX0-kHA/edit?usp=sharing"",""แผน!EB85"")"),0)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IFERROR(__xludf.DUMMYFUNCTION("IMPORTRANGE(""https://docs.google.com/spreadsheets/d/1QqKyyYR6Q21VydFLVH3TRQUabQu_ym0Zz7PgGX0-kHA/edit?usp=sharing"",""แผน!EB85"")"),0)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IFERROR(__xludf.DUMMYFUNCTION("IMPORTRANGE(""https://docs.google.com/spreadsheets/d/1QqKyyYR6Q21VydFLVH3TRQUabQu_ym0Zz7PgGX0-kHA/edit?usp=sharing"",""แผน!EB85"")"),0)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IFERROR(__xludf.DUMMYFUNCTION("IMPORTRANGE(""https://docs.google.com/spreadsheets/d/1QqKyyYR6Q21VydFLVH3TRQUabQu_ym0Zz7PgGX0-kHA/edit?usp=sharing"",""แผน!EB85"")"),0)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IFERROR(__xludf.DUMMYFUNCTION("IMPORTRANGE(""https://docs.google.com/spreadsheets/d/1MeEWN-I1oV_STSDYn1IFDPWt_1FKiwhDph83XaGc0o0/edit?usp=sharing"",""งบพรบ!DS85"")"),0)</f>
        <v>0</v>
      </c>
      <c r="M303" s="93">
        <f ca="1">IFERROR(__xludf.DUMMYFUNCTION("IMPORTRANGE(""https://docs.google.com/spreadsheets/d/1MeEWN-I1oV_STSDYn1IFDPWt_1FKiwhDph83XaGc0o0/edit?usp=sharing"",""งบพรบ!DX85"")"),0)</f>
        <v>0</v>
      </c>
      <c r="N303" s="93">
        <f ca="1">IFERROR(__xludf.DUMMYFUNCTION("IMPORTRANGE(""https://docs.google.com/spreadsheets/d/1MeEWN-I1oV_STSDYn1IFDPWt_1FKiwhDph83XaGc0o0/edit?usp=sharing"",""งบพรบ!DZ85"")"),0)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IFERROR(__xludf.DUMMYFUNCTION("IMPORTRANGE(""https://docs.google.com/spreadsheets/d/1MeEWN-I1oV_STSDYn1IFDPWt_1FKiwhDph83XaGc0o0/edit?usp=sharing"",""งบพรบ!DV85"")"),0)</f>
        <v>0</v>
      </c>
      <c r="M306" s="93">
        <f ca="1">IFERROR(__xludf.DUMMYFUNCTION("IMPORTRANGE(""https://docs.google.com/spreadsheets/d/1MeEWN-I1oV_STSDYn1IFDPWt_1FKiwhDph83XaGc0o0/edit?usp=sharing"",""งบพรบ!DY85"")"),0)</f>
        <v>0</v>
      </c>
      <c r="N306" s="93">
        <f ca="1">IFERROR(__xludf.DUMMYFUNCTION("IMPORTRANGE(""https://docs.google.com/spreadsheets/d/1MeEWN-I1oV_STSDYn1IFDPWt_1FKiwhDph83XaGc0o0/edit?usp=sharing"",""งบพรบ!EA85"")"),0)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IFERROR(__xludf.DUMMYFUNCTION("IMPORTRANGE(""https://docs.google.com/spreadsheets/d/1QqKyyYR6Q21VydFLVH3TRQUabQu_ym0Zz7PgGX0-kHA/edit?usp=sharing"",""แผน!ED85"")"),0)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IFERROR(__xludf.DUMMYFUNCTION("IMPORTRANGE(""https://docs.google.com/spreadsheets/d/1QqKyyYR6Q21VydFLVH3TRQUabQu_ym0Zz7PgGX0-kHA/edit?usp=sharing"",""แผน!ED85"")"),0)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IFERROR(__xludf.DUMMYFUNCTION("IMPORTRANGE(""https://docs.google.com/spreadsheets/d/1QqKyyYR6Q21VydFLVH3TRQUabQu_ym0Zz7PgGX0-kHA/edit?usp=sharing"",""แผน!ED85"")"),0)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IFERROR(__xludf.DUMMYFUNCTION("IMPORTRANGE(""https://docs.google.com/spreadsheets/d/1QqKyyYR6Q21VydFLVH3TRQUabQu_ym0Zz7PgGX0-kHA/edit?usp=sharing"",""แผน!EE85"")"),0)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IFERROR(__xludf.DUMMYFUNCTION("IMPORTRANGE(""https://docs.google.com/spreadsheets/d/1MeEWN-I1oV_STSDYn1IFDPWt_1FKiwhDph83XaGc0o0/edit?usp=sharing"",""งบพรบ!EC85"")"),0)</f>
        <v>0</v>
      </c>
      <c r="M320" s="93">
        <f ca="1">IFERROR(__xludf.DUMMYFUNCTION("IMPORTRANGE(""https://docs.google.com/spreadsheets/d/1MeEWN-I1oV_STSDYn1IFDPWt_1FKiwhDph83XaGc0o0/edit?usp=sharing"",""งบพรบ!EH85"")"),0)</f>
        <v>0</v>
      </c>
      <c r="N320" s="93">
        <f ca="1">IFERROR(__xludf.DUMMYFUNCTION("IMPORTRANGE(""https://docs.google.com/spreadsheets/d/1MeEWN-I1oV_STSDYn1IFDPWt_1FKiwhDph83XaGc0o0/edit?usp=sharing"",""งบพรบ!EJ85"")"),0)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IFERROR(__xludf.DUMMYFUNCTION("IMPORTRANGE(""https://docs.google.com/spreadsheets/d/1MeEWN-I1oV_STSDYn1IFDPWt_1FKiwhDph83XaGc0o0/edit?usp=sharing"",""งบพรบ!EF85"")"),0)</f>
        <v>0</v>
      </c>
      <c r="M323" s="93">
        <f ca="1">IFERROR(__xludf.DUMMYFUNCTION("IMPORTRANGE(""https://docs.google.com/spreadsheets/d/1MeEWN-I1oV_STSDYn1IFDPWt_1FKiwhDph83XaGc0o0/edit?usp=sharing"",""งบพรบ!EI85"")"),0)</f>
        <v>0</v>
      </c>
      <c r="N323" s="93">
        <f ca="1">IFERROR(__xludf.DUMMYFUNCTION("IMPORTRANGE(""https://docs.google.com/spreadsheets/d/1MeEWN-I1oV_STSDYn1IFDPWt_1FKiwhDph83XaGc0o0/edit?usp=sharing"",""งบพรบ!EK85"")"),0)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IFERROR(__xludf.DUMMYFUNCTION("IMPORTRANGE(""https://docs.google.com/spreadsheets/d/1QqKyyYR6Q21VydFLVH3TRQUabQu_ym0Zz7PgGX0-kHA/edit?usp=sharing"",""แผน!EF85"")"),0)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IFERROR(__xludf.DUMMYFUNCTION("IMPORTRANGE(""https://docs.google.com/spreadsheets/d/1QqKyyYR6Q21VydFLVH3TRQUabQu_ym0Zz7PgGX0-kHA/edit?usp=sharing"",""แผน!EG85"")"),500)</f>
        <v>500</v>
      </c>
      <c r="J327" s="445">
        <f ca="1">J338+J341+J342+J343</f>
        <v>810</v>
      </c>
      <c r="K327" s="446">
        <f ca="1">IF(I327&gt;0,J327*100/I327,0)</f>
        <v>162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159000</v>
      </c>
      <c r="M328" s="155">
        <f t="shared" ca="1" si="149"/>
        <v>170500</v>
      </c>
      <c r="N328" s="155">
        <f t="shared" ca="1" si="149"/>
        <v>118646.03</v>
      </c>
      <c r="O328" s="155">
        <f t="shared" ref="O328:O336" ca="1" si="150">IF(L328&gt;0,N328*100/L328,0)</f>
        <v>74.620144654088051</v>
      </c>
      <c r="P328" s="155">
        <f t="shared" ref="P328:P336" ca="1" si="151">IF(M328&gt;0,N328*100/M328,0)</f>
        <v>69.587114369501464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159000</v>
      </c>
      <c r="M330" s="93">
        <f t="shared" ca="1" si="152"/>
        <v>170500</v>
      </c>
      <c r="N330" s="93">
        <f t="shared" ca="1" si="152"/>
        <v>118646.03</v>
      </c>
      <c r="O330" s="93">
        <f t="shared" ca="1" si="150"/>
        <v>74.620144654088051</v>
      </c>
      <c r="P330" s="93">
        <f t="shared" ca="1" si="151"/>
        <v>69.587114369501464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159000</v>
      </c>
      <c r="M331" s="498">
        <f t="shared" ca="1" si="153"/>
        <v>161500</v>
      </c>
      <c r="N331" s="498">
        <f t="shared" ca="1" si="153"/>
        <v>118646.03</v>
      </c>
      <c r="O331" s="498">
        <f t="shared" ca="1" si="150"/>
        <v>74.620144654088051</v>
      </c>
      <c r="P331" s="498">
        <f t="shared" ca="1" si="151"/>
        <v>73.465034055727557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IFERROR(__xludf.DUMMYFUNCTION("IMPORTRANGE(""https://docs.google.com/spreadsheets/d/1MeEWN-I1oV_STSDYn1IFDPWt_1FKiwhDph83XaGc0o0/edit?usp=sharing"",""งบพรบ!EM85"")"),159000)</f>
        <v>159000</v>
      </c>
      <c r="M333" s="93">
        <f ca="1">IFERROR(__xludf.DUMMYFUNCTION("IMPORTRANGE(""https://docs.google.com/spreadsheets/d/1MeEWN-I1oV_STSDYn1IFDPWt_1FKiwhDph83XaGc0o0/edit?usp=sharing"",""งบพรบ!ER85"")"),161500)</f>
        <v>161500</v>
      </c>
      <c r="N333" s="93">
        <f ca="1">IFERROR(__xludf.DUMMYFUNCTION("IMPORTRANGE(""https://docs.google.com/spreadsheets/d/1MeEWN-I1oV_STSDYn1IFDPWt_1FKiwhDph83XaGc0o0/edit?usp=sharing"",""งบพรบ!ET85"")"),118646.03)</f>
        <v>118646.03</v>
      </c>
      <c r="O333" s="93">
        <f t="shared" ca="1" si="150"/>
        <v>74.620144654088051</v>
      </c>
      <c r="P333" s="93">
        <f t="shared" ca="1" si="151"/>
        <v>73.465034055727557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9000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IFERROR(__xludf.DUMMYFUNCTION("IMPORTRANGE(""https://docs.google.com/spreadsheets/d/1MeEWN-I1oV_STSDYn1IFDPWt_1FKiwhDph83XaGc0o0/edit?usp=sharing"",""งบพรบ!EP85"")"),0)</f>
        <v>0</v>
      </c>
      <c r="M336" s="93">
        <f ca="1">IFERROR(__xludf.DUMMYFUNCTION("IMPORTRANGE(""https://docs.google.com/spreadsheets/d/1MeEWN-I1oV_STSDYn1IFDPWt_1FKiwhDph83XaGc0o0/edit?usp=sharing"",""งบพรบ!ES85"")"),9000)</f>
        <v>9000</v>
      </c>
      <c r="N336" s="93">
        <f ca="1">IFERROR(__xludf.DUMMYFUNCTION("IMPORTRANGE(""https://docs.google.com/spreadsheets/d/1MeEWN-I1oV_STSDYn1IFDPWt_1FKiwhDph83XaGc0o0/edit?usp=sharing"",""งบพรบ!EU85"")"),0)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IFERROR(__xludf.DUMMYFUNCTION("IMPORTRANGE(""https://docs.google.com/spreadsheets/d/1QqKyyYR6Q21VydFLVH3TRQUabQu_ym0Zz7PgGX0-kHA/edit?usp=sharing"",""แผน!EG85"")"),500)</f>
        <v>500</v>
      </c>
      <c r="J338" s="270">
        <f ca="1">IFERROR(__xludf.DUMMYFUNCTION("IMPORTRANGE(""https://docs.google.com/spreadsheets/d/1kVcqe37tkHyjCSG3S0O1AXqVkqjo8mSIZil3BcpIysc/edit?usp=sharing"",""ศูนย์!D85"")"),737)</f>
        <v>737</v>
      </c>
      <c r="K338" s="498">
        <f ca="1">IF(I338&gt;0,J338*100/I338,0)</f>
        <v>147.4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IFERROR(__xludf.DUMMYFUNCTION("IMPORTRANGE(""https://docs.google.com/spreadsheets/d/1QqKyyYR6Q21VydFLVH3TRQUabQu_ym0Zz7PgGX0-kHA/edit?usp=sharing"",""แผน!EH85"")"),3)</f>
        <v>3</v>
      </c>
      <c r="J340" s="270">
        <f ca="1">IFERROR(__xludf.DUMMYFUNCTION("IMPORTRANGE(""https://docs.google.com/spreadsheets/d/1kVcqe37tkHyjCSG3S0O1AXqVkqjo8mSIZil3BcpIysc/edit?usp=sharing"",""ศูนย์!E85"")"),3)</f>
        <v>3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IFERROR(__xludf.DUMMYFUNCTION("IMPORTRANGE(""https://docs.google.com/spreadsheets/d/1kVcqe37tkHyjCSG3S0O1AXqVkqjo8mSIZil3BcpIysc/edit?usp=sharing"",""ศูนย์!F85"")"),73)</f>
        <v>73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IFERROR(__xludf.DUMMYFUNCTION("IMPORTRANGE(""https://docs.google.com/spreadsheets/d/1kVcqe37tkHyjCSG3S0O1AXqVkqjo8mSIZil3BcpIysc/edit?usp=sharing"",""ศูนย์!G85"")"),0)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IFERROR(__xludf.DUMMYFUNCTION("IMPORTRANGE(""https://docs.google.com/spreadsheets/d/1kVcqe37tkHyjCSG3S0O1AXqVkqjo8mSIZil3BcpIysc/edit?usp=sharing"",""ศูนย์!H85"")"),0)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619700</v>
      </c>
      <c r="M345" s="155">
        <f t="shared" ca="1" si="155"/>
        <v>649700</v>
      </c>
      <c r="N345" s="155">
        <f t="shared" ca="1" si="155"/>
        <v>464111.26</v>
      </c>
      <c r="O345" s="155">
        <f t="shared" ref="O345:O353" ca="1" si="156">IF(L345&gt;0,N345*100/L345,0)</f>
        <v>74.892893335484914</v>
      </c>
      <c r="P345" s="155">
        <f t="shared" ref="P345:P353" ca="1" si="157">IF(M345&gt;0,N345*100/M345,0)</f>
        <v>71.434702170232413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619700</v>
      </c>
      <c r="M347" s="93">
        <f t="shared" ca="1" si="158"/>
        <v>649700</v>
      </c>
      <c r="N347" s="93">
        <f t="shared" ca="1" si="158"/>
        <v>464111.26</v>
      </c>
      <c r="O347" s="93">
        <f t="shared" ca="1" si="156"/>
        <v>74.892893335484914</v>
      </c>
      <c r="P347" s="93">
        <f t="shared" ca="1" si="157"/>
        <v>71.434702170232413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573700</v>
      </c>
      <c r="M348" s="498">
        <f t="shared" ca="1" si="159"/>
        <v>603700</v>
      </c>
      <c r="N348" s="498">
        <f t="shared" ca="1" si="159"/>
        <v>418111.26</v>
      </c>
      <c r="O348" s="498">
        <f t="shared" ca="1" si="156"/>
        <v>72.879773400732091</v>
      </c>
      <c r="P348" s="498">
        <f t="shared" ca="1" si="157"/>
        <v>69.258118270664241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IFERROR(__xludf.DUMMYFUNCTION("IMPORTRANGE(""https://docs.google.com/spreadsheets/d/1MeEWN-I1oV_STSDYn1IFDPWt_1FKiwhDph83XaGc0o0/edit?usp=sharing"",""งบพรบ!EW85"")"),573700)</f>
        <v>573700</v>
      </c>
      <c r="M350" s="93">
        <f ca="1">IFERROR(__xludf.DUMMYFUNCTION("IMPORTRANGE(""https://docs.google.com/spreadsheets/d/1MeEWN-I1oV_STSDYn1IFDPWt_1FKiwhDph83XaGc0o0/edit?usp=sharing"",""งบพรบ!FB85"")"),603700)</f>
        <v>603700</v>
      </c>
      <c r="N350" s="93">
        <f ca="1">IFERROR(__xludf.DUMMYFUNCTION("IMPORTRANGE(""https://docs.google.com/spreadsheets/d/1MeEWN-I1oV_STSDYn1IFDPWt_1FKiwhDph83XaGc0o0/edit?usp=sharing"",""งบพรบ!FD85"")"),418111.26)</f>
        <v>418111.26</v>
      </c>
      <c r="O350" s="93">
        <f t="shared" ca="1" si="156"/>
        <v>72.879773400732091</v>
      </c>
      <c r="P350" s="93">
        <f t="shared" ca="1" si="157"/>
        <v>69.258118270664241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46000</v>
      </c>
      <c r="M351" s="498">
        <f t="shared" ca="1" si="160"/>
        <v>46000</v>
      </c>
      <c r="N351" s="498">
        <f t="shared" ca="1" si="160"/>
        <v>46000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IFERROR(__xludf.DUMMYFUNCTION("IMPORTRANGE(""https://docs.google.com/spreadsheets/d/1MeEWN-I1oV_STSDYn1IFDPWt_1FKiwhDph83XaGc0o0/edit?usp=sharing"",""งบพรบ!EZ85"")"),46000)</f>
        <v>46000</v>
      </c>
      <c r="M353" s="93">
        <f ca="1">IFERROR(__xludf.DUMMYFUNCTION("IMPORTRANGE(""https://docs.google.com/spreadsheets/d/1MeEWN-I1oV_STSDYn1IFDPWt_1FKiwhDph83XaGc0o0/edit?usp=sharing"",""งบพรบ!FC85"")"),46000)</f>
        <v>46000</v>
      </c>
      <c r="N353" s="93">
        <f ca="1">IFERROR(__xludf.DUMMYFUNCTION("IMPORTRANGE(""https://docs.google.com/spreadsheets/d/1MeEWN-I1oV_STSDYn1IFDPWt_1FKiwhDph83XaGc0o0/edit?usp=sharing"",""งบพรบ!FE85"")"),46000)</f>
        <v>46000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IFERROR(__xludf.DUMMYFUNCTION("IMPORTRANGE(""https://docs.google.com/spreadsheets/d/1QqKyyYR6Q21VydFLVH3TRQUabQu_ym0Zz7PgGX0-kHA/edit?usp=sharing"",""แผน!EP85"")"),60)</f>
        <v>60</v>
      </c>
      <c r="J355" s="465">
        <f ca="1">J362</f>
        <v>36</v>
      </c>
      <c r="K355" s="466">
        <f ca="1">IF(I355&gt;0,J355*100/I355,0)</f>
        <v>60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IFERROR(__xludf.DUMMYFUNCTION("IMPORTRANGE(""https://docs.google.com/spreadsheets/d/1XWAQStnk-4SwqDmLtmXYiTMKHgktTP8We1SCoS47DrQ/edit?usp=sharing"",""จัดที่ดิน!W85"")"),74)</f>
        <v>74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IFERROR(__xludf.DUMMYFUNCTION("IMPORTRANGE(""https://docs.google.com/spreadsheets/d/1QqKyyYR6Q21VydFLVH3TRQUabQu_ym0Zz7PgGX0-kHA/edit?usp=sharing"",""แผน!EO85"")"),450)</f>
        <v>450</v>
      </c>
      <c r="J359" s="270">
        <f ca="1">IFERROR(__xludf.DUMMYFUNCTION("IMPORTRANGE(""https://docs.google.com/spreadsheets/d/1XWAQStnk-4SwqDmLtmXYiTMKHgktTP8We1SCoS47DrQ/edit?usp=sharing"",""จัดที่ดิน!X85"")"),441.33)</f>
        <v>441.33</v>
      </c>
      <c r="K359" s="498">
        <f t="shared" ca="1" si="161"/>
        <v>98.073333333333338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IFERROR(__xludf.DUMMYFUNCTION("IMPORTRANGE(""https://docs.google.com/spreadsheets/d/1QqKyyYR6Q21VydFLVH3TRQUabQu_ym0Zz7PgGX0-kHA/edit?usp=sharing"",""แผน!EP85"")"),60)</f>
        <v>60</v>
      </c>
      <c r="J360" s="270">
        <f ca="1">IFERROR(__xludf.DUMMYFUNCTION("IMPORTRANGE(""https://docs.google.com/spreadsheets/d/1XWAQStnk-4SwqDmLtmXYiTMKHgktTP8We1SCoS47DrQ/edit?usp=sharing"",""จัดที่ดิน!Y85"")"),50)</f>
        <v>50</v>
      </c>
      <c r="K360" s="498">
        <f t="shared" ca="1" si="161"/>
        <v>83.333333333333329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IFERROR(__xludf.DUMMYFUNCTION("IMPORTRANGE(""https://docs.google.com/spreadsheets/d/1XWAQStnk-4SwqDmLtmXYiTMKHgktTP8We1SCoS47DrQ/edit?usp=sharing"",""จัดที่ดิน!Z85"")"),251.88)</f>
        <v>251.88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IFERROR(__xludf.DUMMYFUNCTION("IMPORTRANGE(""https://docs.google.com/spreadsheets/d/1QqKyyYR6Q21VydFLVH3TRQUabQu_ym0Zz7PgGX0-kHA/edit?usp=sharing"",""แผน!EP85"")"),60)</f>
        <v>60</v>
      </c>
      <c r="J362" s="270">
        <f ca="1">IFERROR(__xludf.DUMMYFUNCTION("IMPORTRANGE(""https://docs.google.com/spreadsheets/d/1XWAQStnk-4SwqDmLtmXYiTMKHgktTP8We1SCoS47DrQ/edit?usp=sharing"",""จัดที่ดิน!AA85"")"),36)</f>
        <v>36</v>
      </c>
      <c r="K362" s="498">
        <f t="shared" ca="1" si="161"/>
        <v>60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IFERROR(__xludf.DUMMYFUNCTION("IMPORTRANGE(""https://docs.google.com/spreadsheets/d/1XWAQStnk-4SwqDmLtmXYiTMKHgktTP8We1SCoS47DrQ/edit?usp=sharing"",""จัดที่ดิน!AB85"")"),187.69)</f>
        <v>187.69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110</v>
      </c>
      <c r="J364" s="479">
        <f t="shared" ca="1" si="162"/>
        <v>97</v>
      </c>
      <c r="K364" s="480">
        <f t="shared" ca="1" si="161"/>
        <v>88.181818181818187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IFERROR(__xludf.DUMMYFUNCTION("IMPORTRANGE(""https://docs.google.com/spreadsheets/d/1QqKyyYR6Q21VydFLVH3TRQUabQu_ym0Zz7PgGX0-kHA/edit?usp=sharing"",""แผน!EJ85"")"),30)</f>
        <v>30</v>
      </c>
      <c r="J365" s="491">
        <f ca="1">J372</f>
        <v>17</v>
      </c>
      <c r="K365" s="492">
        <f t="shared" ca="1" si="161"/>
        <v>56.666666666666664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IFERROR(__xludf.DUMMYFUNCTION("IMPORTRANGE(""https://docs.google.com/spreadsheets/d/1XWAQStnk-4SwqDmLtmXYiTMKHgktTP8We1SCoS47DrQ/edit?usp=sharing"",""จัดที่ดิน!E85"")"),47)</f>
        <v>47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IFERROR(__xludf.DUMMYFUNCTION("IMPORTRANGE(""https://docs.google.com/spreadsheets/d/1QqKyyYR6Q21VydFLVH3TRQUabQu_ym0Zz7PgGX0-kHA/edit?usp=sharing"",""แผน!EI85"")"),300)</f>
        <v>300</v>
      </c>
      <c r="J369" s="270">
        <f ca="1">IFERROR(__xludf.DUMMYFUNCTION("IMPORTRANGE(""https://docs.google.com/spreadsheets/d/1XWAQStnk-4SwqDmLtmXYiTMKHgktTP8We1SCoS47DrQ/edit?usp=sharing"",""จัดที่ดิน!F85"")"),295.94)</f>
        <v>295.94</v>
      </c>
      <c r="K369" s="498">
        <f t="shared" ca="1" si="163"/>
        <v>98.646666666666661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IFERROR(__xludf.DUMMYFUNCTION("IMPORTRANGE(""https://docs.google.com/spreadsheets/d/1QqKyyYR6Q21VydFLVH3TRQUabQu_ym0Zz7PgGX0-kHA/edit?usp=sharing"",""แผน!EJ85"")"),30)</f>
        <v>30</v>
      </c>
      <c r="J370" s="270">
        <f ca="1">IFERROR(__xludf.DUMMYFUNCTION("IMPORTRANGE(""https://docs.google.com/spreadsheets/d/1XWAQStnk-4SwqDmLtmXYiTMKHgktTP8We1SCoS47DrQ/edit?usp=sharing"",""จัดที่ดิน!G85"")"),32)</f>
        <v>32</v>
      </c>
      <c r="K370" s="498">
        <f t="shared" ca="1" si="163"/>
        <v>106.66666666666667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IFERROR(__xludf.DUMMYFUNCTION("IMPORTRANGE(""https://docs.google.com/spreadsheets/d/1XWAQStnk-4SwqDmLtmXYiTMKHgktTP8We1SCoS47DrQ/edit?usp=sharing"",""จัดที่ดิน!H85"")"),186.6)</f>
        <v>186.6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IFERROR(__xludf.DUMMYFUNCTION("IMPORTRANGE(""https://docs.google.com/spreadsheets/d/1QqKyyYR6Q21VydFLVH3TRQUabQu_ym0Zz7PgGX0-kHA/edit?usp=sharing"",""แผน!EJ85"")"),30)</f>
        <v>30</v>
      </c>
      <c r="J372" s="270">
        <f ca="1">IFERROR(__xludf.DUMMYFUNCTION("IMPORTRANGE(""https://docs.google.com/spreadsheets/d/1XWAQStnk-4SwqDmLtmXYiTMKHgktTP8We1SCoS47DrQ/edit?usp=sharing"",""จัดที่ดิน!I85"")"),17)</f>
        <v>17</v>
      </c>
      <c r="K372" s="498">
        <f t="shared" ca="1" si="163"/>
        <v>56.666666666666664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IFERROR(__xludf.DUMMYFUNCTION("IMPORTRANGE(""https://docs.google.com/spreadsheets/d/1XWAQStnk-4SwqDmLtmXYiTMKHgktTP8We1SCoS47DrQ/edit?usp=sharing"",""จัดที่ดิน!J85"")"),113.42)</f>
        <v>113.42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IFERROR(__xludf.DUMMYFUNCTION("IMPORTRANGE(""https://docs.google.com/spreadsheets/d/1QqKyyYR6Q21VydFLVH3TRQUabQu_ym0Zz7PgGX0-kHA/edit?usp=sharing"",""แผน!EU85"")"),80)</f>
        <v>80</v>
      </c>
      <c r="J374" s="491">
        <f ca="1">J381</f>
        <v>80</v>
      </c>
      <c r="K374" s="492">
        <f t="shared" ca="1" si="163"/>
        <v>100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IFERROR(__xludf.DUMMYFUNCTION("IMPORTRANGE(""https://docs.google.com/spreadsheets/d/1XWAQStnk-4SwqDmLtmXYiTMKHgktTP8We1SCoS47DrQ/edit?usp=sharing"",""จัดที่ดิน!AH85"")"),27)</f>
        <v>27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IFERROR(__xludf.DUMMYFUNCTION("IMPORTRANGE(""https://docs.google.com/spreadsheets/d/1QqKyyYR6Q21VydFLVH3TRQUabQu_ym0Zz7PgGX0-kHA/edit?usp=sharing"",""แผน!ET85"")"),150)</f>
        <v>150</v>
      </c>
      <c r="J378" s="270">
        <f ca="1">IFERROR(__xludf.DUMMYFUNCTION("IMPORTRANGE(""https://docs.google.com/spreadsheets/d/1XWAQStnk-4SwqDmLtmXYiTMKHgktTP8We1SCoS47DrQ/edit?usp=sharing"",""จัดที่ดิน!AI85"")"),145.39)</f>
        <v>145.38999999999999</v>
      </c>
      <c r="K378" s="498">
        <f t="shared" ca="1" si="164"/>
        <v>96.926666666666648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IFERROR(__xludf.DUMMYFUNCTION("IMPORTRANGE(""https://docs.google.com/spreadsheets/d/1QqKyyYR6Q21VydFLVH3TRQUabQu_ym0Zz7PgGX0-kHA/edit?usp=sharing"",""แผน!EU85"")"),80)</f>
        <v>80</v>
      </c>
      <c r="J379" s="270">
        <f ca="1">IFERROR(__xludf.DUMMYFUNCTION("IMPORTRANGE(""https://docs.google.com/spreadsheets/d/1XWAQStnk-4SwqDmLtmXYiTMKHgktTP8We1SCoS47DrQ/edit?usp=sharing"",""จัดที่ดิน!AJ85"")"),97)</f>
        <v>97</v>
      </c>
      <c r="K379" s="498">
        <f t="shared" ca="1" si="164"/>
        <v>121.25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IFERROR(__xludf.DUMMYFUNCTION("IMPORTRANGE(""https://docs.google.com/spreadsheets/d/1XWAQStnk-4SwqDmLtmXYiTMKHgktTP8We1SCoS47DrQ/edit?usp=sharing"",""จัดที่ดิน!AK85"")"),1252.97)</f>
        <v>1252.97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IFERROR(__xludf.DUMMYFUNCTION("IMPORTRANGE(""https://docs.google.com/spreadsheets/d/1QqKyyYR6Q21VydFLVH3TRQUabQu_ym0Zz7PgGX0-kHA/edit?usp=sharing"",""แผน!EU85"")"),80)</f>
        <v>80</v>
      </c>
      <c r="J381" s="270">
        <f ca="1">IFERROR(__xludf.DUMMYFUNCTION("IMPORTRANGE(""https://docs.google.com/spreadsheets/d/1XWAQStnk-4SwqDmLtmXYiTMKHgktTP8We1SCoS47DrQ/edit?usp=sharing"",""จัดที่ดิน!AL85"")"),80)</f>
        <v>80</v>
      </c>
      <c r="K381" s="498">
        <f t="shared" ca="1" si="164"/>
        <v>100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IFERROR(__xludf.DUMMYFUNCTION("IMPORTRANGE(""https://docs.google.com/spreadsheets/d/1XWAQStnk-4SwqDmLtmXYiTMKHgktTP8We1SCoS47DrQ/edit?usp=sharing"",""จัดที่ดิน!AM85"")"),886.54)</f>
        <v>886.54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IFERROR(__xludf.DUMMYFUNCTION("IMPORTRANGE(""https://docs.google.com/spreadsheets/d/1QqKyyYR6Q21VydFLVH3TRQUabQu_ym0Zz7PgGX0-kHA/edit?usp=sharing"",""แผน!EW85"")"),10)</f>
        <v>10</v>
      </c>
      <c r="J385" s="505">
        <f ca="1">IFERROR(__xludf.DUMMYFUNCTION("IMPORTRANGE(""https://docs.google.com/spreadsheets/d/1XWAQStnk-4SwqDmLtmXYiTMKHgktTP8We1SCoS47DrQ/edit?usp=sharing"",""จัดที่ดิน!AP85"")"),8)</f>
        <v>8</v>
      </c>
      <c r="K385" s="506">
        <f ca="1">IF(I385&gt;0,J385*100/I385,0)</f>
        <v>80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IFERROR(__xludf.DUMMYFUNCTION("IMPORTRANGE(""https://docs.google.com/spreadsheets/d/1MeEWN-I1oV_STSDYn1IFDPWt_1FKiwhDph83XaGc0o0/edit?usp=sharing"",""งบพรบ!FG85"")"),0)</f>
        <v>0</v>
      </c>
      <c r="M394" s="93">
        <f ca="1">IFERROR(__xludf.DUMMYFUNCTION("IMPORTRANGE(""https://docs.google.com/spreadsheets/d/1MeEWN-I1oV_STSDYn1IFDPWt_1FKiwhDph83XaGc0o0/edit?usp=sharing"",""งบพรบ!FL85"")"),0)</f>
        <v>0</v>
      </c>
      <c r="N394" s="93">
        <f ca="1">IFERROR(__xludf.DUMMYFUNCTION("IMPORTRANGE(""https://docs.google.com/spreadsheets/d/1MeEWN-I1oV_STSDYn1IFDPWt_1FKiwhDph83XaGc0o0/edit?usp=sharing"",""งบพรบ!FN85"")"),0)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IFERROR(__xludf.DUMMYFUNCTION("IMPORTRANGE(""https://docs.google.com/spreadsheets/d/1MeEWN-I1oV_STSDYn1IFDPWt_1FKiwhDph83XaGc0o0/edit?usp=sharing"",""งบพรบ!FJ85"")"),0)</f>
        <v>0</v>
      </c>
      <c r="M397" s="93">
        <f ca="1">IFERROR(__xludf.DUMMYFUNCTION("IMPORTRANGE(""https://docs.google.com/spreadsheets/d/1MeEWN-I1oV_STSDYn1IFDPWt_1FKiwhDph83XaGc0o0/edit?usp=sharing"",""งบพรบ!FM85"")"),0)</f>
        <v>0</v>
      </c>
      <c r="N397" s="93">
        <f ca="1">IFERROR(__xludf.DUMMYFUNCTION("IMPORTRANGE(""https://docs.google.com/spreadsheets/d/1MeEWN-I1oV_STSDYn1IFDPWt_1FKiwhDph83XaGc0o0/edit?usp=sharing"",""งบพรบ!FO85"")"),0)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IFERROR(__xludf.DUMMYFUNCTION("IMPORTRANGE(""https://docs.google.com/spreadsheets/d/1MeEWN-I1oV_STSDYn1IFDPWt_1FKiwhDph83XaGc0o0/edit?usp=sharing"",""งบพรบ!FQ85"")"),0)</f>
        <v>0</v>
      </c>
      <c r="M407" s="93">
        <f ca="1">IFERROR(__xludf.DUMMYFUNCTION("IMPORTRANGE(""https://docs.google.com/spreadsheets/d/1MeEWN-I1oV_STSDYn1IFDPWt_1FKiwhDph83XaGc0o0/edit?usp=sharing"",""งบพรบ!FV85"")"),0)</f>
        <v>0</v>
      </c>
      <c r="N407" s="93">
        <f ca="1">IFERROR(__xludf.DUMMYFUNCTION("IMPORTRANGE(""https://docs.google.com/spreadsheets/d/1MeEWN-I1oV_STSDYn1IFDPWt_1FKiwhDph83XaGc0o0/edit?usp=sharing"",""งบพรบ!FX85"")"),0)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IFERROR(__xludf.DUMMYFUNCTION("IMPORTRANGE(""https://docs.google.com/spreadsheets/d/1MeEWN-I1oV_STSDYn1IFDPWt_1FKiwhDph83XaGc0o0/edit?usp=sharing"",""งบพรบ!FT85"")"),0)</f>
        <v>0</v>
      </c>
      <c r="M410" s="93">
        <f ca="1">IFERROR(__xludf.DUMMYFUNCTION("IMPORTRANGE(""https://docs.google.com/spreadsheets/d/1MeEWN-I1oV_STSDYn1IFDPWt_1FKiwhDph83XaGc0o0/edit?usp=sharing"",""งบพรบ!FW85"")"),0)</f>
        <v>0</v>
      </c>
      <c r="N410" s="93">
        <f ca="1">IFERROR(__xludf.DUMMYFUNCTION("IMPORTRANGE(""https://docs.google.com/spreadsheets/d/1MeEWN-I1oV_STSDYn1IFDPWt_1FKiwhDph83XaGc0o0/edit?usp=sharing"",""งบพรบ!FY85"")"),0)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1699978</v>
      </c>
      <c r="M414" s="553">
        <f t="shared" ca="1" si="181"/>
        <v>1699978</v>
      </c>
      <c r="N414" s="553">
        <f t="shared" si="181"/>
        <v>479460.75</v>
      </c>
      <c r="O414" s="553">
        <f ca="1">IF(L414&gt;0,N414*100/L414,0)</f>
        <v>28.203938521557337</v>
      </c>
      <c r="P414" s="553">
        <f ca="1">IF(M414&gt;0,N414*100/M414,0)</f>
        <v>28.203938521557337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62836.08</v>
      </c>
      <c r="O419" s="155">
        <f t="shared" ref="O419:O424" ca="1" si="185">IF(L419&gt;0,N419*100/L419,0)</f>
        <v>94.405168269230771</v>
      </c>
      <c r="P419" s="155">
        <f t="shared" ref="P419:P424" ca="1" si="186">IF(M419&gt;0,N419*100/M419,0)</f>
        <v>94.405168269230771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62836.08</v>
      </c>
      <c r="O421" s="93">
        <f t="shared" ca="1" si="185"/>
        <v>94.405168269230771</v>
      </c>
      <c r="P421" s="93">
        <f t="shared" ca="1" si="186"/>
        <v>94.405168269230771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62836.08</v>
      </c>
      <c r="O422" s="498">
        <f t="shared" ca="1" si="185"/>
        <v>94.405168269230771</v>
      </c>
      <c r="P422" s="498">
        <f t="shared" ca="1" si="186"/>
        <v>94.405168269230771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IFERROR(__xludf.DUMMYFUNCTION("IMPORTRANGE(""https://docs.google.com/spreadsheets/d/1QqKyyYR6Q21VydFLVH3TRQUabQu_ym0Zz7PgGX0-kHA/edit?usp=sharing"",""แผน!EY85"")"),66560)</f>
        <v>66560</v>
      </c>
      <c r="M424" s="93">
        <f ca="1">L424</f>
        <v>66560</v>
      </c>
      <c r="N424" s="93">
        <f>N425+N426+N427+N428</f>
        <v>62836.08</v>
      </c>
      <c r="O424" s="93">
        <f t="shared" ca="1" si="185"/>
        <v>94.405168269230771</v>
      </c>
      <c r="P424" s="93">
        <f t="shared" ca="1" si="186"/>
        <v>94.405168269230771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25125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37711.08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IFERROR(__xludf.DUMMYFUNCTION("IMPORTRANGE(""https://docs.google.com/spreadsheets/d/1QqKyyYR6Q21VydFLVH3TRQUabQu_ym0Zz7PgGX0-kHA/edit?usp=sharing"",""แผน!FC85"")"),15)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IFERROR(__xludf.DUMMYFUNCTION("IMPORTRANGE(""https://docs.google.com/spreadsheets/d/1QqKyyYR6Q21VydFLVH3TRQUabQu_ym0Zz7PgGX0-kHA/edit?usp=sharing"",""แผน!FD85"")"),0)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IFERROR(__xludf.DUMMYFUNCTION("IMPORTRANGE(""https://docs.google.com/spreadsheets/d/1QqKyyYR6Q21VydFLVH3TRQUabQu_ym0Zz7PgGX0-kHA/edit?usp=sharing"",""แผน!FE85"")"),0)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IFERROR(__xludf.DUMMYFUNCTION("IMPORTRANGE(""https://docs.google.com/spreadsheets/d/1QqKyyYR6Q21VydFLVH3TRQUabQu_ym0Zz7PgGX0-kHA/edit?usp=sharing"",""แผน!FF85"")"),15)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IFERROR(__xludf.DUMMYFUNCTION("IMPORTRANGE(""https://docs.google.com/spreadsheets/d/1QqKyyYR6Q21VydFLVH3TRQUabQu_ym0Zz7PgGX0-kHA/edit?usp=sharing"",""แผน!FG85"")"),1)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IFERROR(__xludf.DUMMYFUNCTION("IMPORTRANGE(""https://docs.google.com/spreadsheets/d/1QqKyyYR6Q21VydFLVH3TRQUabQu_ym0Zz7PgGX0-kHA/edit?usp=sharing"",""แผน!FH85"")"),0)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20</v>
      </c>
      <c r="J442" s="589">
        <f t="shared" si="195"/>
        <v>20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20</v>
      </c>
      <c r="J443" s="569">
        <f t="shared" si="196"/>
        <v>20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78360</v>
      </c>
      <c r="M444" s="195">
        <f t="shared" ca="1" si="197"/>
        <v>78360</v>
      </c>
      <c r="N444" s="195">
        <f t="shared" si="197"/>
        <v>52780</v>
      </c>
      <c r="O444" s="195">
        <f t="shared" ref="O444:O449" ca="1" si="198">IF(L444&gt;0,N444*100/L444,0)</f>
        <v>67.355793772332817</v>
      </c>
      <c r="P444" s="195">
        <f t="shared" ref="P444:P449" ca="1" si="199">IF(M444&gt;0,N444*100/M444,0)</f>
        <v>67.355793772332817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78360</v>
      </c>
      <c r="M446" s="93">
        <f t="shared" ca="1" si="200"/>
        <v>78360</v>
      </c>
      <c r="N446" s="93">
        <f t="shared" si="200"/>
        <v>52780</v>
      </c>
      <c r="O446" s="93">
        <f t="shared" ca="1" si="198"/>
        <v>67.355793772332817</v>
      </c>
      <c r="P446" s="93">
        <f t="shared" ca="1" si="199"/>
        <v>67.355793772332817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78360</v>
      </c>
      <c r="M447" s="498">
        <f t="shared" ca="1" si="201"/>
        <v>78360</v>
      </c>
      <c r="N447" s="498">
        <f t="shared" si="201"/>
        <v>52780</v>
      </c>
      <c r="O447" s="498">
        <f t="shared" ca="1" si="198"/>
        <v>67.355793772332817</v>
      </c>
      <c r="P447" s="498">
        <f t="shared" ca="1" si="199"/>
        <v>67.355793772332817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IFERROR(__xludf.DUMMYFUNCTION("IMPORTRANGE(""https://docs.google.com/spreadsheets/d/1QqKyyYR6Q21VydFLVH3TRQUabQu_ym0Zz7PgGX0-kHA/edit?usp=sharing"",""แผน!FJ85"")"),78360)</f>
        <v>78360</v>
      </c>
      <c r="M449" s="93">
        <f ca="1">L449</f>
        <v>78360</v>
      </c>
      <c r="N449" s="93">
        <f>N450+N451+N452+N453</f>
        <v>52780</v>
      </c>
      <c r="O449" s="93">
        <f t="shared" ca="1" si="198"/>
        <v>67.355793772332817</v>
      </c>
      <c r="P449" s="93">
        <f t="shared" ca="1" si="199"/>
        <v>67.355793772332817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15520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34800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2460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IFERROR(__xludf.DUMMYFUNCTION("IMPORTRANGE(""https://docs.google.com/spreadsheets/d/1QqKyyYR6Q21VydFLVH3TRQUabQu_ym0Zz7PgGX0-kHA/edit?usp=sharing"",""แผน!FN85"")"),20)</f>
        <v>20</v>
      </c>
      <c r="J460" s="215">
        <v>20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IFERROR(__xludf.DUMMYFUNCTION("IMPORTRANGE(""https://docs.google.com/spreadsheets/d/1QqKyyYR6Q21VydFLVH3TRQUabQu_ym0Zz7PgGX0-kHA/edit?usp=sharing"",""แผน!FO85"")"),20)</f>
        <v>20</v>
      </c>
      <c r="J462" s="215">
        <v>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IFERROR(__xludf.DUMMYFUNCTION("IMPORTRANGE(""https://docs.google.com/spreadsheets/d/1QqKyyYR6Q21VydFLVH3TRQUabQu_ym0Zz7PgGX0-kHA/edit?usp=sharing"",""แผน!FO85"")"),20)</f>
        <v>20</v>
      </c>
      <c r="J463" s="215">
        <v>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IFERROR(__xludf.DUMMYFUNCTION("IMPORTRANGE(""https://docs.google.com/spreadsheets/d/1QqKyyYR6Q21VydFLVH3TRQUabQu_ym0Zz7PgGX0-kHA/edit?usp=sharing"",""แผน!FN85"")"),20)</f>
        <v>20</v>
      </c>
      <c r="J464" s="215">
        <v>20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IFERROR(__xludf.DUMMYFUNCTION("IMPORTRANGE(""https://docs.google.com/spreadsheets/d/1QqKyyYR6Q21VydFLVH3TRQUabQu_ym0Zz7PgGX0-kHA/edit?usp=sharing"",""แผน!FX85"")"),131)</f>
        <v>131</v>
      </c>
      <c r="J465" s="589">
        <f>J485+J489+J492</f>
        <v>131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IFERROR(__xludf.DUMMYFUNCTION("IMPORTRANGE(""https://docs.google.com/spreadsheets/d/1QqKyyYR6Q21VydFLVH3TRQUabQu_ym0Zz7PgGX0-kHA/edit?usp=sharing"",""แผน!FW85"")"),1300)</f>
        <v>1300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1172908</v>
      </c>
      <c r="M467" s="195">
        <f t="shared" ca="1" si="206"/>
        <v>1172908</v>
      </c>
      <c r="N467" s="195">
        <f t="shared" si="206"/>
        <v>283994.71999999997</v>
      </c>
      <c r="O467" s="195">
        <f t="shared" ref="O467:O472" ca="1" si="207">IF(L467&gt;0,N467*100/L467,0)</f>
        <v>24.212872620870517</v>
      </c>
      <c r="P467" s="195">
        <f t="shared" ref="P467:P472" ca="1" si="208">IF(M467&gt;0,N467*100/M467,0)</f>
        <v>24.212872620870517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1172908</v>
      </c>
      <c r="M469" s="93">
        <f t="shared" ca="1" si="209"/>
        <v>1172908</v>
      </c>
      <c r="N469" s="93">
        <f t="shared" si="209"/>
        <v>283994.71999999997</v>
      </c>
      <c r="O469" s="93">
        <f t="shared" ca="1" si="207"/>
        <v>24.212872620870517</v>
      </c>
      <c r="P469" s="93">
        <f t="shared" ca="1" si="208"/>
        <v>24.212872620870517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1172908</v>
      </c>
      <c r="M470" s="498">
        <f t="shared" ca="1" si="210"/>
        <v>1172908</v>
      </c>
      <c r="N470" s="498">
        <f t="shared" si="210"/>
        <v>283994.71999999997</v>
      </c>
      <c r="O470" s="498">
        <f t="shared" ca="1" si="207"/>
        <v>24.212872620870517</v>
      </c>
      <c r="P470" s="498">
        <f t="shared" ca="1" si="208"/>
        <v>24.212872620870517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IFERROR(__xludf.DUMMYFUNCTION("IMPORTRANGE(""https://docs.google.com/spreadsheets/d/1QqKyyYR6Q21VydFLVH3TRQUabQu_ym0Zz7PgGX0-kHA/edit?usp=sharing"",""แผน!FS85"")"),1172908)</f>
        <v>1172908</v>
      </c>
      <c r="M472" s="93">
        <f ca="1">L472</f>
        <v>1172908</v>
      </c>
      <c r="N472" s="93">
        <f>N473+N474+N475+N476</f>
        <v>283994.71999999997</v>
      </c>
      <c r="O472" s="93">
        <f t="shared" ca="1" si="207"/>
        <v>24.212872620870517</v>
      </c>
      <c r="P472" s="93">
        <f t="shared" ca="1" si="208"/>
        <v>24.212872620870517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161485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91000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31509.72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IFERROR(__xludf.DUMMYFUNCTION("IMPORTRANGE(""https://docs.google.com/spreadsheets/d/1QqKyyYR6Q21VydFLVH3TRQUabQu_ym0Zz7PgGX0-kHA/edit?usp=sharing"",""แผน!FY85"")"),1170)</f>
        <v>1170</v>
      </c>
      <c r="J483" s="215">
        <v>1455</v>
      </c>
      <c r="K483" s="498">
        <f ca="1">IF(I483&gt;0,J483*100/I483,0)</f>
        <v>124.35897435897436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117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IFERROR(__xludf.DUMMYFUNCTION("IMPORTRANGE(""https://docs.google.com/spreadsheets/d/1QqKyyYR6Q21VydFLVH3TRQUabQu_ym0Zz7PgGX0-kHA/edit?usp=sharing"",""แผน!FZ85"")"),117)</f>
        <v>117</v>
      </c>
      <c r="J485" s="215">
        <v>117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IFERROR(__xludf.DUMMYFUNCTION("IMPORTRANGE(""https://docs.google.com/spreadsheets/d/1QqKyyYR6Q21VydFLVH3TRQUabQu_ym0Zz7PgGX0-kHA/edit?usp=sharing"",""แผน!GA85"")"),130)</f>
        <v>130</v>
      </c>
      <c r="J487" s="215">
        <v>159</v>
      </c>
      <c r="K487" s="498">
        <f ca="1">IF(I487&gt;0,J487*100/I487,0)</f>
        <v>122.30769230769231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13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IFERROR(__xludf.DUMMYFUNCTION("IMPORTRANGE(""https://docs.google.com/spreadsheets/d/1QqKyyYR6Q21VydFLVH3TRQUabQu_ym0Zz7PgGX0-kHA/edit?usp=sharing"",""แผน!GB85"")"),13)</f>
        <v>13</v>
      </c>
      <c r="J489" s="215">
        <v>13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IFERROR(__xludf.DUMMYFUNCTION("IMPORTRANGE(""https://docs.google.com/spreadsheets/d/1QqKyyYR6Q21VydFLVH3TRQUabQu_ym0Zz7PgGX0-kHA/edit?usp=sharing"",""แผน!GC85"")"),1)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IFERROR(__xludf.DUMMYFUNCTION("IMPORTRANGE(""https://docs.google.com/spreadsheets/d/1QqKyyYR6Q21VydFLVH3TRQUabQu_ym0Zz7PgGX0-kHA/edit?usp=sharing"",""แผน!FY85"")"),1170)</f>
        <v>1170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IFERROR(__xludf.DUMMYFUNCTION("IMPORTRANGE(""https://docs.google.com/spreadsheets/d/1QqKyyYR6Q21VydFLVH3TRQUabQu_ym0Zz7PgGX0-kHA/edit?usp=sharing"",""แผน!GA85"")"),130)</f>
        <v>130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IFERROR(__xludf.DUMMYFUNCTION("IMPORTRANGE(""https://docs.google.com/spreadsheets/d/1QqKyyYR6Q21VydFLVH3TRQUabQu_ym0Zz7PgGX0-kHA/edit?usp=sharing"",""แผน!GU85"")"),0)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IFERROR(__xludf.DUMMYFUNCTION("IMPORTRANGE(""https://docs.google.com/spreadsheets/d/1QqKyyYR6Q21VydFLVH3TRQUabQu_ym0Zz7PgGX0-kHA/edit?usp=sharing"",""แผน!GV85"")"),0)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IFERROR(__xludf.DUMMYFUNCTION("IMPORTRANGE(""https://docs.google.com/spreadsheets/d/1QqKyyYR6Q21VydFLVH3TRQUabQu_ym0Zz7PgGX0-kHA/edit?usp=sharing"",""แผน!GW85"")"),0)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IFERROR(__xludf.DUMMYFUNCTION("IMPORTRANGE(""https://docs.google.com/spreadsheets/d/1QqKyyYR6Q21VydFLVH3TRQUabQu_ym0Zz7PgGX0-kHA/edit?usp=sharing"",""แผน!GX85"")"),0)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IFERROR(__xludf.DUMMYFUNCTION("IMPORTRANGE(""https://docs.google.com/spreadsheets/d/1QqKyyYR6Q21VydFLVH3TRQUabQu_ym0Zz7PgGX0-kHA/edit?usp=sharing"",""แผน!GY85"")"),0)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IFERROR(__xludf.DUMMYFUNCTION("IMPORTRANGE(""https://docs.google.com/spreadsheets/d/1QqKyyYR6Q21VydFLVH3TRQUabQu_ym0Zz7PgGX0-kHA/edit?usp=sharing"",""แผน!GZ85"")"),0)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0</v>
      </c>
      <c r="J543" s="686">
        <f t="shared" si="235"/>
        <v>0</v>
      </c>
      <c r="K543" s="687">
        <f t="shared" ca="1" si="234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218100</v>
      </c>
      <c r="M544" s="155">
        <f t="shared" ca="1" si="236"/>
        <v>218100</v>
      </c>
      <c r="N544" s="155">
        <f t="shared" si="236"/>
        <v>26687</v>
      </c>
      <c r="O544" s="155">
        <f t="shared" ref="O544:O549" ca="1" si="237">IF(L544&gt;0,N544*100/L544,0)</f>
        <v>12.236130215497479</v>
      </c>
      <c r="P544" s="155">
        <f t="shared" ref="P544:P549" ca="1" si="238">IF(M544&gt;0,N544*100/M544,0)</f>
        <v>12.236130215497479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218100</v>
      </c>
      <c r="M546" s="93">
        <f t="shared" ca="1" si="240"/>
        <v>218100</v>
      </c>
      <c r="N546" s="93">
        <f t="shared" si="240"/>
        <v>26687</v>
      </c>
      <c r="O546" s="93">
        <f t="shared" ca="1" si="237"/>
        <v>12.236130215497479</v>
      </c>
      <c r="P546" s="93">
        <f t="shared" ca="1" si="238"/>
        <v>12.236130215497479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218100</v>
      </c>
      <c r="M547" s="498">
        <f t="shared" ca="1" si="241"/>
        <v>218100</v>
      </c>
      <c r="N547" s="498">
        <f t="shared" si="241"/>
        <v>26687</v>
      </c>
      <c r="O547" s="498">
        <f t="shared" ca="1" si="237"/>
        <v>12.236130215497479</v>
      </c>
      <c r="P547" s="498">
        <f t="shared" ca="1" si="238"/>
        <v>12.236130215497479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IFERROR(__xludf.DUMMYFUNCTION("IMPORTRANGE(""https://docs.google.com/spreadsheets/d/1QqKyyYR6Q21VydFLVH3TRQUabQu_ym0Zz7PgGX0-kHA/edit?usp=sharing"",""แผน!HB85"")"),218100)</f>
        <v>218100</v>
      </c>
      <c r="M549" s="93">
        <f ca="1">L549</f>
        <v>218100</v>
      </c>
      <c r="N549" s="93">
        <f>N550+N551+N552+N553+N554</f>
        <v>26687</v>
      </c>
      <c r="O549" s="93">
        <f t="shared" ca="1" si="237"/>
        <v>12.236130215497479</v>
      </c>
      <c r="P549" s="93">
        <f t="shared" ca="1" si="238"/>
        <v>12.236130215497479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17187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9500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 hidden="1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 hidden="1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0</v>
      </c>
      <c r="J559" s="707">
        <f t="shared" si="245"/>
        <v>0</v>
      </c>
      <c r="K559" s="676">
        <f t="shared" ref="K559:K561" ca="1" si="246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 hidden="1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IFERROR(__xludf.DUMMYFUNCTION("IMPORTRANGE(""https://docs.google.com/spreadsheets/d/1QqKyyYR6Q21VydFLVH3TRQUabQu_ym0Zz7PgGX0-kHA/edit?usp=sharing"",""แผน!HH85"")"),0)</f>
        <v>0</v>
      </c>
      <c r="J560" s="193">
        <f t="shared" ref="J560:J561" si="247">J562+J564+J566</f>
        <v>0</v>
      </c>
      <c r="K560" s="412">
        <f t="shared" ca="1" si="246"/>
        <v>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 hidden="1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IFERROR(__xludf.DUMMYFUNCTION("IMPORTRANGE(""https://docs.google.com/spreadsheets/d/1QqKyyYR6Q21VydFLVH3TRQUabQu_ym0Zz7PgGX0-kHA/edit?usp=sharing"",""แผน!HG85"")"),0)</f>
        <v>0</v>
      </c>
      <c r="J561" s="193">
        <f t="shared" si="247"/>
        <v>0</v>
      </c>
      <c r="K561" s="412">
        <f t="shared" ca="1" si="246"/>
        <v>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 hidden="1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 hidden="1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 hidden="1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 hidden="1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 hidden="1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 hidden="1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 hidden="1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IFERROR(__xludf.DUMMYFUNCTION("IMPORTRANGE(""https://docs.google.com/spreadsheets/d/1QqKyyYR6Q21VydFLVH3TRQUabQu_ym0Zz7PgGX0-kHA/edit?usp=sharing"",""แผน!HH85"")"),0)</f>
        <v>0</v>
      </c>
      <c r="J568" s="680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 hidden="1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IFERROR(__xludf.DUMMYFUNCTION("IMPORTRANGE(""https://docs.google.com/spreadsheets/d/1QqKyyYR6Q21VydFLVH3TRQUabQu_ym0Zz7PgGX0-kHA/edit?usp=sharing"",""แผน!HG85"")"),0)</f>
        <v>0</v>
      </c>
      <c r="J569" s="680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 hidden="1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 hidden="1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 hidden="1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 hidden="1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 hidden="1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 hidden="1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 hidden="1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IFERROR(__xludf.DUMMYFUNCTION("IMPORTRANGE(""https://docs.google.com/spreadsheets/d/1QqKyyYR6Q21VydFLVH3TRQUabQu_ym0Zz7PgGX0-kHA/edit?usp=sharing"",""แผน!HH85"")"),0)</f>
        <v>0</v>
      </c>
      <c r="J576" s="680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 hidden="1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IFERROR(__xludf.DUMMYFUNCTION("IMPORTRANGE(""https://docs.google.com/spreadsheets/d/1QqKyyYR6Q21VydFLVH3TRQUabQu_ym0Zz7PgGX0-kHA/edit?usp=sharing"",""แผน!HG85"")"),0)</f>
        <v>0</v>
      </c>
      <c r="J577" s="680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 hidden="1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 hidden="1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 hidden="1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 hidden="1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 hidden="1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 hidden="1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 hidden="1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 hidden="1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 hidden="1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 hidden="1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 hidden="1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 hidden="1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 hidden="1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 hidden="1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5413.65</v>
      </c>
      <c r="J592" s="707">
        <f t="shared" si="253"/>
        <v>4663</v>
      </c>
      <c r="K592" s="676">
        <f t="shared" ref="K592:K594" ca="1" si="254">IF(I592&gt;0,J592*100/I592,0)</f>
        <v>86.134123927479621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IFERROR(__xludf.DUMMYFUNCTION("IMPORTRANGE(""https://docs.google.com/spreadsheets/d/1QqKyyYR6Q21VydFLVH3TRQUabQu_ym0Zz7PgGX0-kHA/edit?usp=sharing"",""แผน!HJ85"")"),5413.65)</f>
        <v>5413.65</v>
      </c>
      <c r="J593" s="193">
        <f t="shared" ref="J593:J594" si="255">J595+J603+J609</f>
        <v>4663</v>
      </c>
      <c r="K593" s="412">
        <f t="shared" ca="1" si="254"/>
        <v>86.134123927479621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IFERROR(__xludf.DUMMYFUNCTION("IMPORTRANGE(""https://docs.google.com/spreadsheets/d/1QqKyyYR6Q21VydFLVH3TRQUabQu_ym0Zz7PgGX0-kHA/edit?usp=sharing"",""แผน!HI85"")"),507)</f>
        <v>507</v>
      </c>
      <c r="J594" s="193">
        <f t="shared" si="255"/>
        <v>384</v>
      </c>
      <c r="K594" s="412">
        <f t="shared" ca="1" si="254"/>
        <v>75.739644970414204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2183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192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1928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171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255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21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2480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192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IFERROR(__xludf.DUMMYFUNCTION("IMPORTRANGE(""https://docs.google.com/spreadsheets/d/1QqKyyYR6Q21VydFLVH3TRQUabQu_ym0Zz7PgGX0-kHA/edit?usp=sharing"",""แผน!HL85"")"),0)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IFERROR(__xludf.DUMMYFUNCTION("IMPORTRANGE(""https://docs.google.com/spreadsheets/d/1QqKyyYR6Q21VydFLVH3TRQUabQu_ym0Zz7PgGX0-kHA/edit?usp=sharing"",""แผน!HK85"")"),0)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7</v>
      </c>
      <c r="J628" s="740">
        <f t="shared" ca="1" si="262"/>
        <v>1</v>
      </c>
      <c r="K628" s="741">
        <f ca="1">IF(I628&gt;0,J628*100/I628,0)</f>
        <v>14.285714285714286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164050</v>
      </c>
      <c r="M629" s="195">
        <f t="shared" ca="1" si="263"/>
        <v>164050</v>
      </c>
      <c r="N629" s="195">
        <f t="shared" si="263"/>
        <v>53162.95</v>
      </c>
      <c r="O629" s="195">
        <f t="shared" ref="O629:O634" ca="1" si="264">IF(L629&gt;0,N629*100/L629,0)</f>
        <v>32.406552880219444</v>
      </c>
      <c r="P629" s="195">
        <f t="shared" ref="P629:P634" ca="1" si="265">IF(M629&gt;0,N629*100/M629,0)</f>
        <v>32.406552880219444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164050</v>
      </c>
      <c r="M631" s="93">
        <f t="shared" ca="1" si="266"/>
        <v>164050</v>
      </c>
      <c r="N631" s="93">
        <f t="shared" si="266"/>
        <v>53162.95</v>
      </c>
      <c r="O631" s="93">
        <f t="shared" ca="1" si="264"/>
        <v>32.406552880219444</v>
      </c>
      <c r="P631" s="93">
        <f t="shared" ca="1" si="265"/>
        <v>32.406552880219444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164050</v>
      </c>
      <c r="M632" s="498">
        <f t="shared" ca="1" si="267"/>
        <v>164050</v>
      </c>
      <c r="N632" s="498">
        <f t="shared" si="267"/>
        <v>53162.95</v>
      </c>
      <c r="O632" s="498">
        <f t="shared" ca="1" si="264"/>
        <v>32.406552880219444</v>
      </c>
      <c r="P632" s="498">
        <f t="shared" ca="1" si="265"/>
        <v>32.406552880219444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IFERROR(__xludf.DUMMYFUNCTION("IMPORTRANGE(""https://docs.google.com/spreadsheets/d/1QqKyyYR6Q21VydFLVH3TRQUabQu_ym0Zz7PgGX0-kHA/edit?usp=sharing"",""แผน!HN85"")"),164050)</f>
        <v>164050</v>
      </c>
      <c r="M634" s="93">
        <f ca="1">L634</f>
        <v>164050</v>
      </c>
      <c r="N634" s="93">
        <f>N635+N636+N637+N638</f>
        <v>53162.95</v>
      </c>
      <c r="O634" s="93">
        <f t="shared" ca="1" si="264"/>
        <v>32.406552880219444</v>
      </c>
      <c r="P634" s="93">
        <f t="shared" ca="1" si="265"/>
        <v>32.406552880219444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53162.95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IFERROR(__xludf.DUMMYFUNCTION("IMPORTRANGE(""https://docs.google.com/spreadsheets/d/1QqKyyYR6Q21VydFLVH3TRQUabQu_ym0Zz7PgGX0-kHA/edit?usp=sharing"",""แผน!HR85"")"),0)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IFERROR(__xludf.DUMMYFUNCTION("IMPORTRANGE(""https://docs.google.com/spreadsheets/d/1XWAQStnk-4SwqDmLtmXYiTMKHgktTP8We1SCoS47DrQ/edit?usp=sharing"",""จัดที่ดิน!AS85"")"),2)</f>
        <v>2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IFERROR(__xludf.DUMMYFUNCTION("IMPORTRANGE(""https://docs.google.com/spreadsheets/d/1XWAQStnk-4SwqDmLtmXYiTMKHgktTP8We1SCoS47DrQ/edit?usp=sharing"",""จัดที่ดิน!AT85"")"),0.21)</f>
        <v>0.21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IFERROR(__xludf.DUMMYFUNCTION("IMPORTRANGE(""https://docs.google.com/spreadsheets/d/1QqKyyYR6Q21VydFLVH3TRQUabQu_ym0Zz7PgGX0-kHA/edit?usp=sharing"",""แผน!HS85"")"),7)</f>
        <v>7</v>
      </c>
      <c r="J647" s="270">
        <f ca="1">IFERROR(__xludf.DUMMYFUNCTION("IMPORTRANGE(""https://docs.google.com/spreadsheets/d/1XWAQStnk-4SwqDmLtmXYiTMKHgktTP8We1SCoS47DrQ/edit?usp=sharing"",""จัดที่ดิน!AU85"")"),0)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IFERROR(__xludf.DUMMYFUNCTION("IMPORTRANGE(""https://docs.google.com/spreadsheets/d/1XWAQStnk-4SwqDmLtmXYiTMKHgktTP8We1SCoS47DrQ/edit?usp=sharing"",""จัดที่ดิน!AV85"")"),0)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IFERROR(__xludf.DUMMYFUNCTION("IMPORTRANGE(""https://docs.google.com/spreadsheets/d/1QqKyyYR6Q21VydFLVH3TRQUabQu_ym0Zz7PgGX0-kHA/edit?usp=sharing"",""แผน!HS85"")"),7)</f>
        <v>7</v>
      </c>
      <c r="J649" s="270">
        <f ca="1">IFERROR(__xludf.DUMMYFUNCTION("IMPORTRANGE(""https://docs.google.com/spreadsheets/d/1XWAQStnk-4SwqDmLtmXYiTMKHgktTP8We1SCoS47DrQ/edit?usp=sharing"",""จัดที่ดิน!AW85"")"),0)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IFERROR(__xludf.DUMMYFUNCTION("IMPORTRANGE(""https://docs.google.com/spreadsheets/d/1XWAQStnk-4SwqDmLtmXYiTMKHgktTP8We1SCoS47DrQ/edit?usp=sharing"",""จัดที่ดิน!AX85"")"),0)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IFERROR(__xludf.DUMMYFUNCTION("IMPORTRANGE(""https://docs.google.com/spreadsheets/d/1QqKyyYR6Q21VydFLVH3TRQUabQu_ym0Zz7PgGX0-kHA/edit?usp=sharing"",""แผน!HS85"")"),7)</f>
        <v>7</v>
      </c>
      <c r="J651" s="270">
        <f ca="1">IFERROR(__xludf.DUMMYFUNCTION("IMPORTRANGE(""https://docs.google.com/spreadsheets/d/1XWAQStnk-4SwqDmLtmXYiTMKHgktTP8We1SCoS47DrQ/edit?usp=sharing"",""จัดที่ดิน!AY85"")"),1)</f>
        <v>1</v>
      </c>
      <c r="K651" s="163">
        <f t="shared" ca="1" si="271"/>
        <v>14.285714285714286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IFERROR(__xludf.DUMMYFUNCTION("IMPORTRANGE(""https://docs.google.com/spreadsheets/d/1XWAQStnk-4SwqDmLtmXYiTMKHgktTP8We1SCoS47DrQ/edit?usp=sharing"",""จัดที่ดิน!AZ85"")"),2)</f>
        <v>2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IFERROR(__xludf.DUMMYFUNCTION("IMPORTRANGE(""https://docs.google.com/spreadsheets/d/1QqKyyYR6Q21VydFLVH3TRQUabQu_ym0Zz7PgGX0-kHA/edit?usp=sharing"",""แผน!IA85"")"),0)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IFERROR(__xludf.DUMMYFUNCTION("IMPORTRANGE(""https://docs.google.com/spreadsheets/d/1QqKyyYR6Q21VydFLVH3TRQUabQu_ym0Zz7PgGX0-kHA/edit?usp=sharing"",""แผน!HZ85"")"),0)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IFERROR(__xludf.DUMMYFUNCTION("IMPORTRANGE(""https://docs.google.com/spreadsheets/d/1QqKyyYR6Q21VydFLVH3TRQUabQu_ym0Zz7PgGX0-kHA/edit?usp=sharing"",""แผน!HZ85"")"),0)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IFERROR(__xludf.DUMMYFUNCTION("IMPORTRANGE(""https://docs.google.com/spreadsheets/d/1QqKyyYR6Q21VydFLVH3TRQUabQu_ym0Zz7PgGX0-kHA/edit?usp=sharing"",""แผน!IB85"")"),0)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IFERROR(__xludf.DUMMYFUNCTION("IMPORTRANGE(""https://docs.google.com/spreadsheets/d/1QqKyyYR6Q21VydFLVH3TRQUabQu_ym0Zz7PgGX0-kHA/edit?usp=sharing"",""แผน!IC85"")"),0)</f>
        <v>0</v>
      </c>
      <c r="J699" s="270">
        <f ca="1">IFERROR(__xludf.DUMMYFUNCTION("IMPORTRANGE(""https://docs.google.com/spreadsheets/d/1XWAQStnk-4SwqDmLtmXYiTMKHgktTP8We1SCoS47DrQ/edit?usp=sharing"",""จัดที่ดิน!BB85"")"),0)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IFERROR(__xludf.DUMMYFUNCTION("IMPORTRANGE(""https://docs.google.com/spreadsheets/d/1QqKyyYR6Q21VydFLVH3TRQUabQu_ym0Zz7PgGX0-kHA/edit?usp=sharing"",""แผน!ID85"")"),0)</f>
        <v>0</v>
      </c>
      <c r="J700" s="270">
        <f ca="1">IFERROR(__xludf.DUMMYFUNCTION("IMPORTRANGE(""https://docs.google.com/spreadsheets/d/1XWAQStnk-4SwqDmLtmXYiTMKHgktTP8We1SCoS47DrQ/edit?usp=sharing"",""จัดที่ดิน!BD85"")"),0)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IFERROR(__xludf.DUMMYFUNCTION("IMPORTRANGE(""https://docs.google.com/spreadsheets/d/1QqKyyYR6Q21VydFLVH3TRQUabQu_ym0Zz7PgGX0-kHA/edit?usp=sharing"",""แผน!IE85"")"),0)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IFERROR(__xludf.DUMMYFUNCTION("IMPORTRANGE(""https://docs.google.com/spreadsheets/d/1QqKyyYR6Q21VydFLVH3TRQUabQu_ym0Zz7PgGX0-kHA/edit?usp=sharing"",""แผน!IF85"")"),0)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IFERROR(__xludf.DUMMYFUNCTION("IMPORTRANGE(""https://docs.google.com/spreadsheets/d/1QqKyyYR6Q21VydFLVH3TRQUabQu_ym0Zz7PgGX0-kHA/edit?usp=sharing"",""แผน!IG85"")"),0)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IFERROR(__xludf.DUMMYFUNCTION("IMPORTRANGE(""https://docs.google.com/spreadsheets/d/1QqKyyYR6Q21VydFLVH3TRQUabQu_ym0Zz7PgGX0-kHA/edit?usp=sharing"",""แผน!IH85"")"),0)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IFERROR(__xludf.DUMMYFUNCTION("IMPORTRANGE(""https://docs.google.com/spreadsheets/d/1XWAQStnk-4SwqDmLtmXYiTMKHgktTP8We1SCoS47DrQ/edit?usp=sharing"",""จัดที่ดิน!BF85"")"),0)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IFERROR(__xludf.DUMMYFUNCTION("IMPORTRANGE(""https://docs.google.com/spreadsheets/d/1XWAQStnk-4SwqDmLtmXYiTMKHgktTP8We1SCoS47DrQ/edit?usp=sharing"",""จัดที่ดิน!BG85"")"),0)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IFERROR(__xludf.DUMMYFUNCTION("IMPORTRANGE(""https://docs.google.com/spreadsheets/d/1QqKyyYR6Q21VydFLVH3TRQUabQu_ym0Zz7PgGX0-kHA/edit?usp=sharing"",""แผน!II85"")"),0)</f>
        <v>0</v>
      </c>
      <c r="J720" s="270">
        <f ca="1">IFERROR(__xludf.DUMMYFUNCTION("IMPORTRANGE(""https://docs.google.com/spreadsheets/d/1XWAQStnk-4SwqDmLtmXYiTMKHgktTP8We1SCoS47DrQ/edit?usp=sharing"",""จัดที่ดิน!BH85"")"),0)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IFERROR(__xludf.DUMMYFUNCTION("IMPORTRANGE(""https://docs.google.com/spreadsheets/d/1QqKyyYR6Q21VydFLVH3TRQUabQu_ym0Zz7PgGX0-kHA/edit?usp=sharing"",""แผน!IJ85"")"),0)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IFERROR(__xludf.DUMMYFUNCTION("IMPORTRANGE(""https://docs.google.com/spreadsheets/d/1QqKyyYR6Q21VydFLVH3TRQUabQu_ym0Zz7PgGX0-kHA/edit?usp=sharing"",""แผน!IK85"")"),0)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IFERROR(__xludf.DUMMYFUNCTION("IMPORTRANGE(""https://docs.google.com/spreadsheets/d/1QqKyyYR6Q21VydFLVH3TRQUabQu_ym0Zz7PgGX0-kHA/edit?usp=sharing"",""แผน!IL85"")"),0)</f>
        <v>0</v>
      </c>
      <c r="J723" s="270">
        <f ca="1">IFERROR(__xludf.DUMMYFUNCTION("IMPORTRANGE(""https://docs.google.com/spreadsheets/d/1XWAQStnk-4SwqDmLtmXYiTMKHgktTP8We1SCoS47DrQ/edit?usp=sharing"",""จัดที่ดิน!BM85"")"),0)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IFERROR(__xludf.DUMMYFUNCTION("IMPORTRANGE(""https://docs.google.com/spreadsheets/d/1XWAQStnk-4SwqDmLtmXYiTMKHgktTP8We1SCoS47DrQ/edit?usp=sharing"",""จัดที่ดิน!BN85"")"),0)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IFERROR(__xludf.DUMMYFUNCTION("IMPORTRANGE(""https://docs.google.com/spreadsheets/d/1QqKyyYR6Q21VydFLVH3TRQUabQu_ym0Zz7PgGX0-kHA/edit?usp=sharing"",""แผน!IM85"")"),0)</f>
        <v>0</v>
      </c>
      <c r="J725" s="270">
        <f ca="1">IFERROR(__xludf.DUMMYFUNCTION("IMPORTRANGE(""https://docs.google.com/spreadsheets/d/1XWAQStnk-4SwqDmLtmXYiTMKHgktTP8We1SCoS47DrQ/edit?usp=sharing"",""จัดที่ดิน!BO85"")"),0)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IFERROR(__xludf.DUMMYFUNCTION("IMPORTRANGE(""https://docs.google.com/spreadsheets/d/1QqKyyYR6Q21VydFLVH3TRQUabQu_ym0Zz7PgGX0-kHA/edit?usp=sharing"",""แผน!IN85"")"),0)</f>
        <v>0</v>
      </c>
      <c r="J726" s="270">
        <f ca="1">IFERROR(__xludf.DUMMYFUNCTION("IMPORTRANGE(""https://docs.google.com/spreadsheets/d/1XWAQStnk-4SwqDmLtmXYiTMKHgktTP8We1SCoS47DrQ/edit?usp=sharing"",""จัดที่ดิน!BR85"")"),0)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IFERROR(__xludf.DUMMYFUNCTION("IMPORTRANGE(""https://docs.google.com/spreadsheets/d/1XWAQStnk-4SwqDmLtmXYiTMKHgktTP8We1SCoS47DrQ/edit?usp=sharing"",""จัดที่ดิน!BS85"")"),0)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IFERROR(__xludf.DUMMYFUNCTION("IMPORTRANGE(""https://docs.google.com/spreadsheets/d/1QqKyyYR6Q21VydFLVH3TRQUabQu_ym0Zz7PgGX0-kHA/edit?usp=sharing"",""แผน!IO85"")"),0)</f>
        <v>0</v>
      </c>
      <c r="J728" s="270">
        <f ca="1">IFERROR(__xludf.DUMMYFUNCTION("IMPORTRANGE(""https://docs.google.com/spreadsheets/d/1XWAQStnk-4SwqDmLtmXYiTMKHgktTP8We1SCoS47DrQ/edit?usp=sharing"",""จัดที่ดิน!BT85"")"),0)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IFERROR(__xludf.DUMMYFUNCTION("IMPORTRANGE(""https://docs.google.com/spreadsheets/d/1QqKyyYR6Q21VydFLVH3TRQUabQu_ym0Zz7PgGX0-kHA/edit?usp=sharing"",""แผน!IP85"")"),0)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IFERROR(__xludf.DUMMYFUNCTION("IMPORTRANGE(""https://docs.google.com/spreadsheets/d/1QqKyyYR6Q21VydFLVH3TRQUabQu_ym0Zz7PgGX0-kHA/edit?usp=sharing"",""แผน!JN85"")"),0)</f>
        <v>0</v>
      </c>
      <c r="J800" s="184">
        <f ca="1">IFERROR(__xludf.DUMMYFUNCTION("IMPORTRANGE(""https://docs.google.com/spreadsheets/d/1MaWodYyGHDf7siQLGxnXhG4mBNTNIuy296niS2xXulU/edit?usp=sharing"",""RTK!H85"")"),0)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IFERROR(__xludf.DUMMYFUNCTION("IMPORTRANGE(""https://docs.google.com/spreadsheets/d/1MaWodYyGHDf7siQLGxnXhG4mBNTNIuy296niS2xXulU/edit?usp=sharing"",""RTK!I85"")"),0)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341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IFERROR(__xludf.DUMMYFUNCTION("IMPORTRANGE(""https://docs.google.com/spreadsheets/d/19vJNZY_5yjcGF2XGBMNZRCAIB0Kwfpjp8YEOfu-bneM/edit?usp=sharing"",""งานกองทุน!D85"")"),1218366.9)</f>
        <v>1218366.8999999999</v>
      </c>
      <c r="J821" s="270">
        <f ca="1">IFERROR(__xludf.DUMMYFUNCTION("IMPORTRANGE(""https://docs.google.com/spreadsheets/d/19vJNZY_5yjcGF2XGBMNZRCAIB0Kwfpjp8YEOfu-bneM/edit?usp=sharing"",""งานกองทุน!F85"")"),955517.6)</f>
        <v>955517.6</v>
      </c>
      <c r="K821" s="498">
        <f t="shared" ref="K821:K828" ca="1" si="335">IF(I821&gt;0,J821*100/I821,0)</f>
        <v>78.426096441063862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IFERROR(__xludf.DUMMYFUNCTION("IMPORTRANGE(""https://docs.google.com/spreadsheets/d/19vJNZY_5yjcGF2XGBMNZRCAIB0Kwfpjp8YEOfu-bneM/edit?usp=sharing"",""งานกองทุน!C85"")"),122)</f>
        <v>122</v>
      </c>
      <c r="J822" s="270">
        <f ca="1">IFERROR(__xludf.DUMMYFUNCTION("IMPORTRANGE(""https://docs.google.com/spreadsheets/d/19vJNZY_5yjcGF2XGBMNZRCAIB0Kwfpjp8YEOfu-bneM/edit?usp=sharing"",""งานกองทุน!E85"")"),94)</f>
        <v>94</v>
      </c>
      <c r="K822" s="498">
        <f t="shared" ca="1" si="335"/>
        <v>77.049180327868854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IFERROR(__xludf.DUMMYFUNCTION("IMPORTRANGE(""https://docs.google.com/spreadsheets/d/19vJNZY_5yjcGF2XGBMNZRCAIB0Kwfpjp8YEOfu-bneM/edit?usp=sharing"",""งานกองทุน!I85"")"),2047064.98)</f>
        <v>2047064.98</v>
      </c>
      <c r="J823" s="270">
        <f ca="1">IFERROR(__xludf.DUMMYFUNCTION("IMPORTRANGE(""https://docs.google.com/spreadsheets/d/19vJNZY_5yjcGF2XGBMNZRCAIB0Kwfpjp8YEOfu-bneM/edit?usp=sharing"",""งานกองทุน!K85"")"),485049.84)</f>
        <v>485049.84</v>
      </c>
      <c r="K823" s="498">
        <f t="shared" ca="1" si="335"/>
        <v>23.694892186568499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IFERROR(__xludf.DUMMYFUNCTION("IMPORTRANGE(""https://docs.google.com/spreadsheets/d/19vJNZY_5yjcGF2XGBMNZRCAIB0Kwfpjp8YEOfu-bneM/edit?usp=sharing"",""งานกองทุน!H85"")"),124)</f>
        <v>124</v>
      </c>
      <c r="J824" s="270">
        <f ca="1">IFERROR(__xludf.DUMMYFUNCTION("IMPORTRANGE(""https://docs.google.com/spreadsheets/d/19vJNZY_5yjcGF2XGBMNZRCAIB0Kwfpjp8YEOfu-bneM/edit?usp=sharing"",""งานกองทุน!J85"")"),59)</f>
        <v>59</v>
      </c>
      <c r="K824" s="498">
        <f t="shared" ca="1" si="335"/>
        <v>47.58064516129032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IFERROR(__xludf.DUMMYFUNCTION("IMPORTRANGE(""https://docs.google.com/spreadsheets/d/19vJNZY_5yjcGF2XGBMNZRCAIB0Kwfpjp8YEOfu-bneM/edit?usp=sharing"",""งานกองทุน!N85"")"),0)</f>
        <v>0</v>
      </c>
      <c r="J825" s="270">
        <f ca="1">IFERROR(__xludf.DUMMYFUNCTION("IMPORTRANGE(""https://docs.google.com/spreadsheets/d/19vJNZY_5yjcGF2XGBMNZRCAIB0Kwfpjp8YEOfu-bneM/edit?usp=sharing"",""งานกองทุน!P85"")"),0)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IFERROR(__xludf.DUMMYFUNCTION("IMPORTRANGE(""https://docs.google.com/spreadsheets/d/19vJNZY_5yjcGF2XGBMNZRCAIB0Kwfpjp8YEOfu-bneM/edit?usp=sharing"",""งานกองทุน!M85"")"),0)</f>
        <v>0</v>
      </c>
      <c r="J826" s="270">
        <f ca="1">IFERROR(__xludf.DUMMYFUNCTION("IMPORTRANGE(""https://docs.google.com/spreadsheets/d/19vJNZY_5yjcGF2XGBMNZRCAIB0Kwfpjp8YEOfu-bneM/edit?usp=sharing"",""งานกองทุน!O85"")"),0)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IFERROR(__xludf.DUMMYFUNCTION("IMPORTRANGE(""https://docs.google.com/spreadsheets/d/19vJNZY_5yjcGF2XGBMNZRCAIB0Kwfpjp8YEOfu-bneM/edit?usp=sharing"",""งานกองทุน!S85"")"),1700000)</f>
        <v>1700000</v>
      </c>
      <c r="J827" s="270">
        <f ca="1">IFERROR(__xludf.DUMMYFUNCTION("IMPORTRANGE(""https://docs.google.com/spreadsheets/d/19vJNZY_5yjcGF2XGBMNZRCAIB0Kwfpjp8YEOfu-bneM/edit?usp=sharing"",""งานกองทุน!U85"")"),1400000)</f>
        <v>1400000</v>
      </c>
      <c r="K827" s="498">
        <f t="shared" ca="1" si="335"/>
        <v>82.352941176470594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IFERROR(__xludf.DUMMYFUNCTION("IMPORTRANGE(""https://docs.google.com/spreadsheets/d/19vJNZY_5yjcGF2XGBMNZRCAIB0Kwfpjp8YEOfu-bneM/edit?usp=sharing"",""งานกองทุน!R85"")"),68)</f>
        <v>68</v>
      </c>
      <c r="J828" s="505">
        <f ca="1">IFERROR(__xludf.DUMMYFUNCTION("IMPORTRANGE(""https://docs.google.com/spreadsheets/d/19vJNZY_5yjcGF2XGBMNZRCAIB0Kwfpjp8YEOfu-bneM/edit?usp=sharing"",""งานกองทุน!T85"")"),56)</f>
        <v>56</v>
      </c>
      <c r="K828" s="506">
        <f t="shared" ca="1" si="335"/>
        <v>82.352941176470594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CC0C0-9E38-43F0-85C6-29CB1E24010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351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5265083</v>
      </c>
      <c r="M8" s="22">
        <f t="shared" ca="1" si="0"/>
        <v>5539071</v>
      </c>
      <c r="N8" s="22">
        <f t="shared" ca="1" si="0"/>
        <v>4880631.45</v>
      </c>
      <c r="O8" s="22">
        <f t="shared" ref="O8:O16" ca="1" si="1">IF(L8&gt;0,N8*100/L8,0)</f>
        <v>92.698091369119922</v>
      </c>
      <c r="P8" s="22">
        <f t="shared" ref="P8:P16" ca="1" si="2">IF(M8&gt;0,N8*100/M8,0)</f>
        <v>88.112816210516172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5265083</v>
      </c>
      <c r="M10" s="30">
        <f t="shared" ca="1" si="3"/>
        <v>5539071</v>
      </c>
      <c r="N10" s="30">
        <f t="shared" ca="1" si="3"/>
        <v>4880631.45</v>
      </c>
      <c r="O10" s="30">
        <f t="shared" ca="1" si="1"/>
        <v>92.698091369119922</v>
      </c>
      <c r="P10" s="30">
        <f t="shared" ca="1" si="2"/>
        <v>88.112816210516172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5094383</v>
      </c>
      <c r="M11" s="498">
        <f t="shared" ca="1" si="4"/>
        <v>5272351</v>
      </c>
      <c r="N11" s="498">
        <f t="shared" ca="1" si="4"/>
        <v>4709931.45</v>
      </c>
      <c r="O11" s="498">
        <f t="shared" ca="1" si="1"/>
        <v>92.453422720670986</v>
      </c>
      <c r="P11" s="498">
        <f t="shared" ca="1" si="2"/>
        <v>89.332661084210827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5094383</v>
      </c>
      <c r="M13" s="93">
        <f t="shared" ca="1" si="5"/>
        <v>5272351</v>
      </c>
      <c r="N13" s="93">
        <f t="shared" ca="1" si="5"/>
        <v>4709931.45</v>
      </c>
      <c r="O13" s="93">
        <f t="shared" ca="1" si="1"/>
        <v>92.453422720670986</v>
      </c>
      <c r="P13" s="93">
        <f t="shared" ca="1" si="2"/>
        <v>89.332661084210827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170700</v>
      </c>
      <c r="M14" s="498">
        <f t="shared" ca="1" si="6"/>
        <v>266720</v>
      </c>
      <c r="N14" s="498">
        <f t="shared" ca="1" si="6"/>
        <v>170700</v>
      </c>
      <c r="O14" s="498">
        <f t="shared" ca="1" si="1"/>
        <v>100</v>
      </c>
      <c r="P14" s="498">
        <f t="shared" ca="1" si="2"/>
        <v>63.999700059988001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170700</v>
      </c>
      <c r="M16" s="52">
        <f t="shared" ca="1" si="7"/>
        <v>266720</v>
      </c>
      <c r="N16" s="52">
        <f t="shared" ca="1" si="7"/>
        <v>170700</v>
      </c>
      <c r="O16" s="52">
        <f t="shared" ca="1" si="1"/>
        <v>100</v>
      </c>
      <c r="P16" s="52">
        <f t="shared" ca="1" si="2"/>
        <v>63.999700059988001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3382730</v>
      </c>
      <c r="M18" s="22">
        <f t="shared" ca="1" si="8"/>
        <v>3656718</v>
      </c>
      <c r="N18" s="22">
        <f t="shared" ca="1" si="8"/>
        <v>2898951.75</v>
      </c>
      <c r="O18" s="22">
        <f t="shared" ref="O18:O26" ca="1" si="9">IF(L18&gt;0,N18*100/L18,0)</f>
        <v>85.698585166418837</v>
      </c>
      <c r="P18" s="22">
        <f t="shared" ref="P18:P26" ca="1" si="10">IF(M18&gt;0,N18*100/M18,0)</f>
        <v>79.277421720788965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3382730</v>
      </c>
      <c r="M20" s="30">
        <f t="shared" ca="1" si="11"/>
        <v>3656718</v>
      </c>
      <c r="N20" s="30">
        <f t="shared" ca="1" si="11"/>
        <v>2898951.75</v>
      </c>
      <c r="O20" s="30">
        <f t="shared" ca="1" si="9"/>
        <v>85.698585166418837</v>
      </c>
      <c r="P20" s="30">
        <f t="shared" ca="1" si="10"/>
        <v>79.277421720788965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3212030</v>
      </c>
      <c r="M21" s="498">
        <f t="shared" ca="1" si="12"/>
        <v>3389998</v>
      </c>
      <c r="N21" s="498">
        <f t="shared" ca="1" si="12"/>
        <v>2728251.75</v>
      </c>
      <c r="O21" s="498">
        <f t="shared" ca="1" si="9"/>
        <v>84.938551321127136</v>
      </c>
      <c r="P21" s="498">
        <f t="shared" ca="1" si="10"/>
        <v>80.479450135368808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3212030</v>
      </c>
      <c r="M23" s="93">
        <f t="shared" ca="1" si="13"/>
        <v>3389998</v>
      </c>
      <c r="N23" s="93">
        <f t="shared" ca="1" si="13"/>
        <v>2728251.75</v>
      </c>
      <c r="O23" s="93">
        <f t="shared" ca="1" si="9"/>
        <v>84.938551321127136</v>
      </c>
      <c r="P23" s="93">
        <f t="shared" ca="1" si="10"/>
        <v>80.479450135368808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170700</v>
      </c>
      <c r="M24" s="498">
        <f t="shared" ca="1" si="14"/>
        <v>266720</v>
      </c>
      <c r="N24" s="498">
        <f t="shared" ca="1" si="14"/>
        <v>170700</v>
      </c>
      <c r="O24" s="498">
        <f t="shared" ca="1" si="9"/>
        <v>100</v>
      </c>
      <c r="P24" s="498">
        <f t="shared" ca="1" si="10"/>
        <v>63.999700059988001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170700</v>
      </c>
      <c r="M26" s="52">
        <f t="shared" ca="1" si="15"/>
        <v>266720</v>
      </c>
      <c r="N26" s="52">
        <f t="shared" ca="1" si="15"/>
        <v>170700</v>
      </c>
      <c r="O26" s="52">
        <f t="shared" ca="1" si="9"/>
        <v>100</v>
      </c>
      <c r="P26" s="52">
        <f t="shared" ca="1" si="10"/>
        <v>63.999700059988001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1882353</v>
      </c>
      <c r="M28" s="22">
        <f t="shared" ca="1" si="16"/>
        <v>1882353</v>
      </c>
      <c r="N28" s="22">
        <f t="shared" si="16"/>
        <v>1981679.7</v>
      </c>
      <c r="O28" s="22">
        <f t="shared" ref="O28:O37" ca="1" si="17">IF(L28&gt;0,N28*100/L28,0)</f>
        <v>105.27673077260216</v>
      </c>
      <c r="P28" s="22">
        <f t="shared" ref="P28:P37" ca="1" si="18">IF(M28&gt;0,N28*100/M28,0)</f>
        <v>105.27673077260216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1882353</v>
      </c>
      <c r="M30" s="30">
        <f t="shared" ca="1" si="19"/>
        <v>1882353</v>
      </c>
      <c r="N30" s="30">
        <f t="shared" si="19"/>
        <v>1981679.7</v>
      </c>
      <c r="O30" s="30">
        <f t="shared" ca="1" si="17"/>
        <v>105.27673077260216</v>
      </c>
      <c r="P30" s="30">
        <f t="shared" ca="1" si="18"/>
        <v>105.27673077260216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1882353</v>
      </c>
      <c r="M31" s="498">
        <f t="shared" ca="1" si="20"/>
        <v>1882353</v>
      </c>
      <c r="N31" s="498">
        <f t="shared" si="20"/>
        <v>1981679.7</v>
      </c>
      <c r="O31" s="498">
        <f t="shared" ca="1" si="17"/>
        <v>105.27673077260216</v>
      </c>
      <c r="P31" s="498">
        <f t="shared" ca="1" si="18"/>
        <v>105.27673077260216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1882353</v>
      </c>
      <c r="M33" s="93">
        <f t="shared" ca="1" si="21"/>
        <v>1882353</v>
      </c>
      <c r="N33" s="93">
        <f t="shared" si="21"/>
        <v>1981679.7</v>
      </c>
      <c r="O33" s="93">
        <f t="shared" ca="1" si="17"/>
        <v>105.27673077260216</v>
      </c>
      <c r="P33" s="93">
        <f t="shared" ca="1" si="18"/>
        <v>105.27673077260216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3382730</v>
      </c>
      <c r="M37" s="858">
        <f t="shared" ca="1" si="24"/>
        <v>3656718</v>
      </c>
      <c r="N37" s="858">
        <f t="shared" ca="1" si="24"/>
        <v>2898951.75</v>
      </c>
      <c r="O37" s="858">
        <f t="shared" ca="1" si="17"/>
        <v>85.698585166418837</v>
      </c>
      <c r="P37" s="858">
        <f t="shared" ca="1" si="18"/>
        <v>79.277421720788965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590800</v>
      </c>
      <c r="M41" s="85">
        <f t="shared" ca="1" si="25"/>
        <v>605368</v>
      </c>
      <c r="N41" s="85">
        <f t="shared" ca="1" si="25"/>
        <v>565937</v>
      </c>
      <c r="O41" s="85">
        <f t="shared" ref="O41:O49" ca="1" si="26">IF(L41&gt;0,N41*100/L41,0)</f>
        <v>95.791638456330404</v>
      </c>
      <c r="P41" s="85">
        <f t="shared" ref="P41:P49" ca="1" si="27">IF(M41&gt;0,N41*100/M41,0)</f>
        <v>93.486441305123492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590800</v>
      </c>
      <c r="M43" s="92">
        <f t="shared" ca="1" si="28"/>
        <v>605368</v>
      </c>
      <c r="N43" s="92">
        <f t="shared" ca="1" si="28"/>
        <v>565937</v>
      </c>
      <c r="O43" s="92">
        <f t="shared" ca="1" si="26"/>
        <v>95.791638456330404</v>
      </c>
      <c r="P43" s="92">
        <f t="shared" ca="1" si="27"/>
        <v>93.486441305123492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590800</v>
      </c>
      <c r="M44" s="498">
        <f t="shared" ca="1" si="29"/>
        <v>605368</v>
      </c>
      <c r="N44" s="498">
        <f t="shared" ca="1" si="29"/>
        <v>565937</v>
      </c>
      <c r="O44" s="498">
        <f t="shared" ca="1" si="26"/>
        <v>95.791638456330404</v>
      </c>
      <c r="P44" s="498">
        <f t="shared" ca="1" si="27"/>
        <v>93.486441305123492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IFERROR(__xludf.DUMMYFUNCTION("IMPORTRANGE(""https://docs.google.com/spreadsheets/d/1MeEWN-I1oV_STSDYn1IFDPWt_1FKiwhDph83XaGc0o0/edit?usp=sharing"",""งบพรบ!M86"")"),590800)</f>
        <v>590800</v>
      </c>
      <c r="M46" s="93">
        <f ca="1">IFERROR(__xludf.DUMMYFUNCTION("IMPORTRANGE(""https://docs.google.com/spreadsheets/d/1MeEWN-I1oV_STSDYn1IFDPWt_1FKiwhDph83XaGc0o0/edit?usp=sharing"",""งบพรบ!R86"")"),605368)</f>
        <v>605368</v>
      </c>
      <c r="N46" s="93">
        <f ca="1">IFERROR(__xludf.DUMMYFUNCTION("IMPORTRANGE(""https://docs.google.com/spreadsheets/d/1MeEWN-I1oV_STSDYn1IFDPWt_1FKiwhDph83XaGc0o0/edit?usp=sharing"",""งบพรบ!T86"")"),565937)</f>
        <v>565937</v>
      </c>
      <c r="O46" s="93">
        <f t="shared" ca="1" si="26"/>
        <v>95.791638456330404</v>
      </c>
      <c r="P46" s="93">
        <f t="shared" ca="1" si="27"/>
        <v>93.486441305123492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IFERROR(__xludf.DUMMYFUNCTION("IMPORTRANGE(""https://docs.google.com/spreadsheets/d/1MeEWN-I1oV_STSDYn1IFDPWt_1FKiwhDph83XaGc0o0/edit?usp=sharing"",""งบพรบ!P86"")"),0)</f>
        <v>0</v>
      </c>
      <c r="M49" s="52">
        <f ca="1">IFERROR(__xludf.DUMMYFUNCTION("IMPORTRANGE(""https://docs.google.com/spreadsheets/d/1MeEWN-I1oV_STSDYn1IFDPWt_1FKiwhDph83XaGc0o0/edit?usp=sharing"",""งบพรบ!S86"")"),0)</f>
        <v>0</v>
      </c>
      <c r="N49" s="52">
        <f ca="1">IFERROR(__xludf.DUMMYFUNCTION("IMPORTRANGE(""https://docs.google.com/spreadsheets/d/1MeEWN-I1oV_STSDYn1IFDPWt_1FKiwhDph83XaGc0o0/edit?usp=sharing"",""งบพรบ!U86"")"),0)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706700</v>
      </c>
      <c r="M53" s="116">
        <f t="shared" ca="1" si="31"/>
        <v>723700</v>
      </c>
      <c r="N53" s="116">
        <f t="shared" ca="1" si="31"/>
        <v>655869.30000000005</v>
      </c>
      <c r="O53" s="116">
        <f t="shared" ref="O53:O61" ca="1" si="32">IF(L53&gt;0,N53*100/L53,0)</f>
        <v>92.807315692656019</v>
      </c>
      <c r="P53" s="116">
        <f t="shared" ref="P53:P61" ca="1" si="33">IF(M53&gt;0,N53*100/M53,0)</f>
        <v>90.627235042144548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706700</v>
      </c>
      <c r="M55" s="123">
        <f t="shared" ca="1" si="34"/>
        <v>723700</v>
      </c>
      <c r="N55" s="123">
        <f t="shared" ca="1" si="34"/>
        <v>655869.30000000005</v>
      </c>
      <c r="O55" s="123">
        <f t="shared" ca="1" si="32"/>
        <v>92.807315692656019</v>
      </c>
      <c r="P55" s="123">
        <f t="shared" ca="1" si="33"/>
        <v>90.627235042144548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676800</v>
      </c>
      <c r="M56" s="498">
        <f t="shared" ca="1" si="35"/>
        <v>693800</v>
      </c>
      <c r="N56" s="498">
        <f t="shared" ca="1" si="35"/>
        <v>625969.30000000005</v>
      </c>
      <c r="O56" s="498">
        <f t="shared" ca="1" si="32"/>
        <v>92.489553782505922</v>
      </c>
      <c r="P56" s="498">
        <f t="shared" ca="1" si="33"/>
        <v>90.223306428365532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IFERROR(__xludf.DUMMYFUNCTION("IMPORTRANGE(""https://docs.google.com/spreadsheets/d/1MeEWN-I1oV_STSDYn1IFDPWt_1FKiwhDph83XaGc0o0/edit?usp=sharing"",""งบพรบ!W86"")"),676800)</f>
        <v>676800</v>
      </c>
      <c r="M58" s="93">
        <f ca="1">IFERROR(__xludf.DUMMYFUNCTION("IMPORTRANGE(""https://docs.google.com/spreadsheets/d/1MeEWN-I1oV_STSDYn1IFDPWt_1FKiwhDph83XaGc0o0/edit?usp=sharing"",""งบพรบ!AB86"")"),693800)</f>
        <v>693800</v>
      </c>
      <c r="N58" s="93">
        <f ca="1">IFERROR(__xludf.DUMMYFUNCTION("IMPORTRANGE(""https://docs.google.com/spreadsheets/d/1MeEWN-I1oV_STSDYn1IFDPWt_1FKiwhDph83XaGc0o0/edit?usp=sharing"",""งบพรบ!AD86"")"),625969.3)</f>
        <v>625969.30000000005</v>
      </c>
      <c r="O58" s="93">
        <f t="shared" ca="1" si="32"/>
        <v>92.489553782505922</v>
      </c>
      <c r="P58" s="93">
        <f t="shared" ca="1" si="33"/>
        <v>90.223306428365532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29900</v>
      </c>
      <c r="M59" s="498">
        <f t="shared" ca="1" si="36"/>
        <v>29900</v>
      </c>
      <c r="N59" s="498">
        <f t="shared" ca="1" si="36"/>
        <v>29900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IFERROR(__xludf.DUMMYFUNCTION("IMPORTRANGE(""https://docs.google.com/spreadsheets/d/1MeEWN-I1oV_STSDYn1IFDPWt_1FKiwhDph83XaGc0o0/edit?usp=sharing"",""งบพรบ!Z86"")"),29900)</f>
        <v>29900</v>
      </c>
      <c r="M61" s="52">
        <f ca="1">IFERROR(__xludf.DUMMYFUNCTION("IMPORTRANGE(""https://docs.google.com/spreadsheets/d/1MeEWN-I1oV_STSDYn1IFDPWt_1FKiwhDph83XaGc0o0/edit?usp=sharing"",""งบพรบ!AC86"")"),29900)</f>
        <v>29900</v>
      </c>
      <c r="N61" s="52">
        <f ca="1">IFERROR(__xludf.DUMMYFUNCTION("IMPORTRANGE(""https://docs.google.com/spreadsheets/d/1MeEWN-I1oV_STSDYn1IFDPWt_1FKiwhDph83XaGc0o0/edit?usp=sharing"",""งบพรบ!AE86"")"),29900)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IFERROR(__xludf.DUMMYFUNCTION("IMPORTRANGE(""https://docs.google.com/spreadsheets/d/1MeEWN-I1oV_STSDYn1IFDPWt_1FKiwhDph83XaGc0o0/edit?usp=sharing"",""งบพรบ!AG86"")"),0)</f>
        <v>0</v>
      </c>
      <c r="M71" s="93">
        <f ca="1">IFERROR(__xludf.DUMMYFUNCTION("IMPORTRANGE(""https://docs.google.com/spreadsheets/d/1MeEWN-I1oV_STSDYn1IFDPWt_1FKiwhDph83XaGc0o0/edit?usp=sharing"",""งบพรบ!AL86"")"),0)</f>
        <v>0</v>
      </c>
      <c r="N71" s="93">
        <f ca="1">IFERROR(__xludf.DUMMYFUNCTION("IMPORTRANGE(""https://docs.google.com/spreadsheets/d/1MeEWN-I1oV_STSDYn1IFDPWt_1FKiwhDph83XaGc0o0/edit?usp=sharing"",""งบพรบ!AN86"")"),0)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IFERROR(__xludf.DUMMYFUNCTION("IMPORTRANGE(""https://docs.google.com/spreadsheets/d/1MeEWN-I1oV_STSDYn1IFDPWt_1FKiwhDph83XaGc0o0/edit?usp=sharing"",""งบพรบ!AJ86"")"),0)</f>
        <v>0</v>
      </c>
      <c r="M74" s="93">
        <f ca="1">IFERROR(__xludf.DUMMYFUNCTION("IMPORTRANGE(""https://docs.google.com/spreadsheets/d/1MeEWN-I1oV_STSDYn1IFDPWt_1FKiwhDph83XaGc0o0/edit?usp=sharing"",""งบพรบ!AM86"")"),0)</f>
        <v>0</v>
      </c>
      <c r="N74" s="93">
        <f ca="1">IFERROR(__xludf.DUMMYFUNCTION("IMPORTRANGE(""https://docs.google.com/spreadsheets/d/1MeEWN-I1oV_STSDYn1IFDPWt_1FKiwhDph83XaGc0o0/edit?usp=sharing"",""งบพรบ!AO86"")"),0)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31200</v>
      </c>
      <c r="M88" s="155">
        <f t="shared" ca="1" si="49"/>
        <v>31200</v>
      </c>
      <c r="N88" s="155">
        <f t="shared" ca="1" si="49"/>
        <v>27750</v>
      </c>
      <c r="O88" s="155">
        <f t="shared" ref="O88:O96" ca="1" si="50">IF(L88&gt;0,N88*100/L88,0)</f>
        <v>88.942307692307693</v>
      </c>
      <c r="P88" s="155">
        <f t="shared" ref="P88:P96" ca="1" si="51">IF(M88&gt;0,N88*100/M88,0)</f>
        <v>88.942307692307693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31200</v>
      </c>
      <c r="M90" s="93">
        <f t="shared" ca="1" si="52"/>
        <v>31200</v>
      </c>
      <c r="N90" s="93">
        <f t="shared" ca="1" si="52"/>
        <v>27750</v>
      </c>
      <c r="O90" s="93">
        <f t="shared" ca="1" si="50"/>
        <v>88.942307692307693</v>
      </c>
      <c r="P90" s="93">
        <f t="shared" ca="1" si="51"/>
        <v>88.942307692307693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31200</v>
      </c>
      <c r="M91" s="498">
        <f t="shared" ca="1" si="53"/>
        <v>31200</v>
      </c>
      <c r="N91" s="498">
        <f t="shared" ca="1" si="53"/>
        <v>27750</v>
      </c>
      <c r="O91" s="498">
        <f t="shared" ca="1" si="50"/>
        <v>88.942307692307693</v>
      </c>
      <c r="P91" s="498">
        <f t="shared" ca="1" si="51"/>
        <v>88.942307692307693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IFERROR(__xludf.DUMMYFUNCTION("IMPORTRANGE(""https://docs.google.com/spreadsheets/d/1MeEWN-I1oV_STSDYn1IFDPWt_1FKiwhDph83XaGc0o0/edit?usp=sharing"",""งบพรบ!AQ86"")"),31200)</f>
        <v>31200</v>
      </c>
      <c r="M93" s="93">
        <f ca="1">IFERROR(__xludf.DUMMYFUNCTION("IMPORTRANGE(""https://docs.google.com/spreadsheets/d/1MeEWN-I1oV_STSDYn1IFDPWt_1FKiwhDph83XaGc0o0/edit?usp=sharing"",""งบพรบ!AV86"")"),31200)</f>
        <v>31200</v>
      </c>
      <c r="N93" s="93">
        <f ca="1">IFERROR(__xludf.DUMMYFUNCTION("IMPORTRANGE(""https://docs.google.com/spreadsheets/d/1MeEWN-I1oV_STSDYn1IFDPWt_1FKiwhDph83XaGc0o0/edit?usp=sharing"",""งบพรบ!AX86"")"),27750)</f>
        <v>27750</v>
      </c>
      <c r="O93" s="93">
        <f t="shared" ca="1" si="50"/>
        <v>88.942307692307693</v>
      </c>
      <c r="P93" s="93">
        <f t="shared" ca="1" si="51"/>
        <v>88.942307692307693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IFERROR(__xludf.DUMMYFUNCTION("IMPORTRANGE(""https://docs.google.com/spreadsheets/d/1MeEWN-I1oV_STSDYn1IFDPWt_1FKiwhDph83XaGc0o0/edit?usp=sharing"",""งบพรบ!AT86"")"),0)</f>
        <v>0</v>
      </c>
      <c r="M96" s="93">
        <f ca="1">IFERROR(__xludf.DUMMYFUNCTION("IMPORTRANGE(""https://docs.google.com/spreadsheets/d/1MeEWN-I1oV_STSDYn1IFDPWt_1FKiwhDph83XaGc0o0/edit?usp=sharing"",""งบพรบ!AW86"")"),0)</f>
        <v>0</v>
      </c>
      <c r="N96" s="93">
        <f ca="1">IFERROR(__xludf.DUMMYFUNCTION("IMPORTRANGE(""https://docs.google.com/spreadsheets/d/1MeEWN-I1oV_STSDYn1IFDPWt_1FKiwhDph83XaGc0o0/edit?usp=sharing"",""งบพรบ!AY86"")"),0)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IFERROR(__xludf.DUMMYFUNCTION("IMPORTRANGE(""https://docs.google.com/spreadsheets/d/1QqKyyYR6Q21VydFLVH3TRQUabQu_ym0Zz7PgGX0-kHA/edit?usp=sharing"",""แผน!K86"")"),0)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IFERROR(__xludf.DUMMYFUNCTION("IMPORTRANGE(""https://docs.google.com/spreadsheets/d/1QqKyyYR6Q21VydFLVH3TRQUabQu_ym0Zz7PgGX0-kHA/edit?usp=sharing"",""แผน!L86"")"),0)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IFERROR(__xludf.DUMMYFUNCTION("IMPORTRANGE(""https://docs.google.com/spreadsheets/d/1QqKyyYR6Q21VydFLVH3TRQUabQu_ym0Zz7PgGX0-kHA/edit?usp=sharing"",""แผน!M86"")"),1)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IFERROR(__xludf.DUMMYFUNCTION("IMPORTRANGE(""https://docs.google.com/spreadsheets/d/1QqKyyYR6Q21VydFLVH3TRQUabQu_ym0Zz7PgGX0-kHA/edit?usp=sharing"",""แผน!N86"")"),0)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IFERROR(__xludf.DUMMYFUNCTION("IMPORTRANGE(""https://docs.google.com/spreadsheets/d/1QqKyyYR6Q21VydFLVH3TRQUabQu_ym0Zz7PgGX0-kHA/edit?usp=sharing"",""แผน!O86"")"),0)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IFERROR(__xludf.DUMMYFUNCTION("IMPORTRANGE(""https://docs.google.com/spreadsheets/d/1QqKyyYR6Q21VydFLVH3TRQUabQu_ym0Zz7PgGX0-kHA/edit?usp=sharing"",""แผน!O86"")"),0)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IFERROR(__xludf.DUMMYFUNCTION("IMPORTRANGE(""https://docs.google.com/spreadsheets/d/1QqKyyYR6Q21VydFLVH3TRQUabQu_ym0Zz7PgGX0-kHA/edit?usp=sharing"",""แผน!P86"")"),0)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IFERROR(__xludf.DUMMYFUNCTION("IMPORTRANGE(""https://docs.google.com/spreadsheets/d/1QqKyyYR6Q21VydFLVH3TRQUabQu_ym0Zz7PgGX0-kHA/edit?usp=sharing"",""แผน!P86"")"),0)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IFERROR(__xludf.DUMMYFUNCTION("IMPORTRANGE(""https://docs.google.com/spreadsheets/d/1QqKyyYR6Q21VydFLVH3TRQUabQu_ym0Zz7PgGX0-kHA/edit?usp=sharing"",""แผน!Q86"")"),1)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IFERROR(__xludf.DUMMYFUNCTION("IMPORTRANGE(""https://docs.google.com/spreadsheets/d/1QqKyyYR6Q21VydFLVH3TRQUabQu_ym0Zz7PgGX0-kHA/edit?usp=sharing"",""แผน!Q86"")"),1)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IFERROR(__xludf.DUMMYFUNCTION("IMPORTRANGE(""https://docs.google.com/spreadsheets/d/1QqKyyYR6Q21VydFLVH3TRQUabQu_ym0Zz7PgGX0-kHA/edit?usp=sharing"",""แผน!R86"")"),0)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IFERROR(__xludf.DUMMYFUNCTION("IMPORTRANGE(""https://docs.google.com/spreadsheets/d/1QqKyyYR6Q21VydFLVH3TRQUabQu_ym0Zz7PgGX0-kHA/edit?usp=sharing"",""แผน!R86"")"),0)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IFERROR(__xludf.DUMMYFUNCTION("IMPORTRANGE(""https://docs.google.com/spreadsheets/d/1QqKyyYR6Q21VydFLVH3TRQUabQu_ym0Zz7PgGX0-kHA/edit?usp=sharing"",""แผน!R86"")"),0)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IFERROR(__xludf.DUMMYFUNCTION("IMPORTRANGE(""https://docs.google.com/spreadsheets/d/1QqKyyYR6Q21VydFLVH3TRQUabQu_ym0Zz7PgGX0-kHA/edit?usp=sharing"",""แผน!S86"")"),0)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IFERROR(__xludf.DUMMYFUNCTION("IMPORTRANGE(""https://docs.google.com/spreadsheets/d/1QqKyyYR6Q21VydFLVH3TRQUabQu_ym0Zz7PgGX0-kHA/edit?usp=sharing"",""แผน!T86"")"),1)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IFERROR(__xludf.DUMMYFUNCTION("IMPORTRANGE(""https://docs.google.com/spreadsheets/d/1MeEWN-I1oV_STSDYn1IFDPWt_1FKiwhDph83XaGc0o0/edit?usp=sharing"",""งบพรบ!BA86"")"),0)</f>
        <v>0</v>
      </c>
      <c r="M124" s="93">
        <f ca="1">IFERROR(__xludf.DUMMYFUNCTION("IMPORTRANGE(""https://docs.google.com/spreadsheets/d/1MeEWN-I1oV_STSDYn1IFDPWt_1FKiwhDph83XaGc0o0/edit?usp=sharing"",""งบพรบ!BF86"")"),0)</f>
        <v>0</v>
      </c>
      <c r="N124" s="93">
        <f ca="1">IFERROR(__xludf.DUMMYFUNCTION("IMPORTRANGE(""https://docs.google.com/spreadsheets/d/1MeEWN-I1oV_STSDYn1IFDPWt_1FKiwhDph83XaGc0o0/edit?usp=sharing"",""งบพรบ!BH86"")"),0)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IFERROR(__xludf.DUMMYFUNCTION("IMPORTRANGE(""https://docs.google.com/spreadsheets/d/1MeEWN-I1oV_STSDYn1IFDPWt_1FKiwhDph83XaGc0o0/edit?usp=sharing"",""งบพรบ!BD86"")"),0)</f>
        <v>0</v>
      </c>
      <c r="M127" s="93">
        <f ca="1">IFERROR(__xludf.DUMMYFUNCTION("IMPORTRANGE(""https://docs.google.com/spreadsheets/d/1MeEWN-I1oV_STSDYn1IFDPWt_1FKiwhDph83XaGc0o0/edit?usp=sharing"",""งบพรบ!BG86"")"),0)</f>
        <v>0</v>
      </c>
      <c r="N127" s="93">
        <f ca="1">IFERROR(__xludf.DUMMYFUNCTION("IMPORTRANGE(""https://docs.google.com/spreadsheets/d/1MeEWN-I1oV_STSDYn1IFDPWt_1FKiwhDph83XaGc0o0/edit?usp=sharing"",""งบพรบ!BI86"")"),0)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543555</v>
      </c>
      <c r="M132" s="155">
        <f t="shared" ca="1" si="69"/>
        <v>543555</v>
      </c>
      <c r="N132" s="155">
        <f t="shared" ca="1" si="69"/>
        <v>415580</v>
      </c>
      <c r="O132" s="155">
        <f t="shared" ref="O132:O140" ca="1" si="70">IF(L132&gt;0,N132*100/L132,0)</f>
        <v>76.455924423471401</v>
      </c>
      <c r="P132" s="155">
        <f t="shared" ref="P132:P140" ca="1" si="71">IF(M132&gt;0,N132*100/M132,0)</f>
        <v>76.455924423471401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543555</v>
      </c>
      <c r="M134" s="93">
        <f t="shared" ca="1" si="72"/>
        <v>543555</v>
      </c>
      <c r="N134" s="93">
        <f t="shared" ca="1" si="72"/>
        <v>415580</v>
      </c>
      <c r="O134" s="93">
        <f t="shared" ca="1" si="70"/>
        <v>76.455924423471401</v>
      </c>
      <c r="P134" s="93">
        <f t="shared" ca="1" si="71"/>
        <v>76.455924423471401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440555</v>
      </c>
      <c r="M135" s="498">
        <f t="shared" ca="1" si="73"/>
        <v>440555</v>
      </c>
      <c r="N135" s="498">
        <f t="shared" ca="1" si="73"/>
        <v>312580</v>
      </c>
      <c r="O135" s="498">
        <f t="shared" ca="1" si="70"/>
        <v>70.951413557898562</v>
      </c>
      <c r="P135" s="498">
        <f t="shared" ca="1" si="71"/>
        <v>70.951413557898562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IFERROR(__xludf.DUMMYFUNCTION("IMPORTRANGE(""https://docs.google.com/spreadsheets/d/1MeEWN-I1oV_STSDYn1IFDPWt_1FKiwhDph83XaGc0o0/edit?usp=sharing"",""งบพรบ!BK86"")"),440555)</f>
        <v>440555</v>
      </c>
      <c r="M137" s="93">
        <f ca="1">IFERROR(__xludf.DUMMYFUNCTION("IMPORTRANGE(""https://docs.google.com/spreadsheets/d/1MeEWN-I1oV_STSDYn1IFDPWt_1FKiwhDph83XaGc0o0/edit?usp=sharing"",""งบพรบ!BP86"")"),440555)</f>
        <v>440555</v>
      </c>
      <c r="N137" s="93">
        <f ca="1">IFERROR(__xludf.DUMMYFUNCTION("IMPORTRANGE(""https://docs.google.com/spreadsheets/d/1MeEWN-I1oV_STSDYn1IFDPWt_1FKiwhDph83XaGc0o0/edit?usp=sharing"",""งบพรบ!BR86"")"),312580)</f>
        <v>312580</v>
      </c>
      <c r="O137" s="93">
        <f t="shared" ca="1" si="70"/>
        <v>70.951413557898562</v>
      </c>
      <c r="P137" s="93">
        <f t="shared" ca="1" si="71"/>
        <v>70.951413557898562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103000</v>
      </c>
      <c r="M138" s="498">
        <f t="shared" ca="1" si="74"/>
        <v>103000</v>
      </c>
      <c r="N138" s="498">
        <f t="shared" ca="1" si="74"/>
        <v>103000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IFERROR(__xludf.DUMMYFUNCTION("IMPORTRANGE(""https://docs.google.com/spreadsheets/d/1MeEWN-I1oV_STSDYn1IFDPWt_1FKiwhDph83XaGc0o0/edit?usp=sharing"",""งบพรบ!BN86"")"),103000)</f>
        <v>103000</v>
      </c>
      <c r="M140" s="93">
        <f ca="1">IFERROR(__xludf.DUMMYFUNCTION("IMPORTRANGE(""https://docs.google.com/spreadsheets/d/1MeEWN-I1oV_STSDYn1IFDPWt_1FKiwhDph83XaGc0o0/edit?usp=sharing"",""งบพรบ!BQ86"")"),103000)</f>
        <v>103000</v>
      </c>
      <c r="N140" s="93">
        <f ca="1">IFERROR(__xludf.DUMMYFUNCTION("IMPORTRANGE(""https://docs.google.com/spreadsheets/d/1MeEWN-I1oV_STSDYn1IFDPWt_1FKiwhDph83XaGc0o0/edit?usp=sharing"",""งบพรบ!BS86"")"),103000)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IFERROR(__xludf.DUMMYFUNCTION("IMPORTRANGE(""https://docs.google.com/spreadsheets/d/1QqKyyYR6Q21VydFLVH3TRQUabQu_ym0Zz7PgGX0-kHA/edit?usp=sharing"",""แผน!U86"")"),5)</f>
        <v>5</v>
      </c>
      <c r="J144" s="215">
        <v>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IFERROR(__xludf.DUMMYFUNCTION("IMPORTRANGE(""https://docs.google.com/spreadsheets/d/1QqKyyYR6Q21VydFLVH3TRQUabQu_ym0Zz7PgGX0-kHA/edit?usp=sharing"",""แผน!V86"")"),10)</f>
        <v>10</v>
      </c>
      <c r="J145" s="215">
        <v>10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IFERROR(__xludf.DUMMYFUNCTION("IMPORTRANGE(""https://docs.google.com/spreadsheets/d/1QqKyyYR6Q21VydFLVH3TRQUabQu_ym0Zz7PgGX0-kHA/edit?usp=sharing"",""แผน!W86"")"),1)</f>
        <v>1</v>
      </c>
      <c r="J146" s="215">
        <v>1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IFERROR(__xludf.DUMMYFUNCTION("IMPORTRANGE(""https://docs.google.com/spreadsheets/d/1MeEWN-I1oV_STSDYn1IFDPWt_1FKiwhDph83XaGc0o0/edit?usp=sharing"",""งบพรบ!BU86"")"),0)</f>
        <v>0</v>
      </c>
      <c r="M154" s="93">
        <f ca="1">IFERROR(__xludf.DUMMYFUNCTION("IMPORTRANGE(""https://docs.google.com/spreadsheets/d/1MeEWN-I1oV_STSDYn1IFDPWt_1FKiwhDph83XaGc0o0/edit?usp=sharing"",""งบพรบ!BZ86"")"),0)</f>
        <v>0</v>
      </c>
      <c r="N154" s="93">
        <f ca="1">IFERROR(__xludf.DUMMYFUNCTION("IMPORTRANGE(""https://docs.google.com/spreadsheets/d/1MeEWN-I1oV_STSDYn1IFDPWt_1FKiwhDph83XaGc0o0/edit?usp=sharing"",""งบพรบ!CB86"")"),0)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IFERROR(__xludf.DUMMYFUNCTION("IMPORTRANGE(""https://docs.google.com/spreadsheets/d/1MeEWN-I1oV_STSDYn1IFDPWt_1FKiwhDph83XaGc0o0/edit?usp=sharing"",""งบพรบ!BX86"")"),0)</f>
        <v>0</v>
      </c>
      <c r="M157" s="93">
        <f ca="1">IFERROR(__xludf.DUMMYFUNCTION("IMPORTRANGE(""https://docs.google.com/spreadsheets/d/1MeEWN-I1oV_STSDYn1IFDPWt_1FKiwhDph83XaGc0o0/edit?usp=sharing"",""งบพรบ!CA86"")"),0)</f>
        <v>0</v>
      </c>
      <c r="N157" s="93">
        <f ca="1">IFERROR(__xludf.DUMMYFUNCTION("IMPORTRANGE(""https://docs.google.com/spreadsheets/d/1MeEWN-I1oV_STSDYn1IFDPWt_1FKiwhDph83XaGc0o0/edit?usp=sharing"",""งบพรบ!CC86"")"),0)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IFERROR(__xludf.DUMMYFUNCTION("IMPORTRANGE(""https://docs.google.com/spreadsheets/d/1QqKyyYR6Q21VydFLVH3TRQUabQu_ym0Zz7PgGX0-kHA/edit?usp=sharing"",""แผน!X86"")"),0)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44625</v>
      </c>
      <c r="N165" s="155">
        <f t="shared" ca="1" si="84"/>
        <v>44625</v>
      </c>
      <c r="O165" s="155">
        <f t="shared" ref="O165:O173" ca="1" si="85">IF(L165&gt;0,N165*100/L165,0)</f>
        <v>185.43527945148557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44625</v>
      </c>
      <c r="N167" s="93">
        <f t="shared" ca="1" si="87"/>
        <v>44625</v>
      </c>
      <c r="O167" s="93">
        <f t="shared" ca="1" si="85"/>
        <v>185.43527945148557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44625</v>
      </c>
      <c r="N168" s="498">
        <f t="shared" ca="1" si="88"/>
        <v>44625</v>
      </c>
      <c r="O168" s="498">
        <f t="shared" ca="1" si="85"/>
        <v>185.43527945148557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IFERROR(__xludf.DUMMYFUNCTION("IMPORTRANGE(""https://docs.google.com/spreadsheets/d/1MeEWN-I1oV_STSDYn1IFDPWt_1FKiwhDph83XaGc0o0/edit?usp=sharing"",""งบพรบ!CE86"")"),24065)</f>
        <v>24065</v>
      </c>
      <c r="M170" s="93">
        <f ca="1">IFERROR(__xludf.DUMMYFUNCTION("IMPORTRANGE(""https://docs.google.com/spreadsheets/d/1MeEWN-I1oV_STSDYn1IFDPWt_1FKiwhDph83XaGc0o0/edit?usp=sharing"",""งบพรบ!CJ86"")"),44625)</f>
        <v>44625</v>
      </c>
      <c r="N170" s="93">
        <f ca="1">IFERROR(__xludf.DUMMYFUNCTION("IMPORTRANGE(""https://docs.google.com/spreadsheets/d/1MeEWN-I1oV_STSDYn1IFDPWt_1FKiwhDph83XaGc0o0/edit?usp=sharing"",""งบพรบ!CL86"")"),44625)</f>
        <v>44625</v>
      </c>
      <c r="O170" s="93">
        <f t="shared" ca="1" si="85"/>
        <v>185.43527945148557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IFERROR(__xludf.DUMMYFUNCTION("IMPORTRANGE(""https://docs.google.com/spreadsheets/d/1MeEWN-I1oV_STSDYn1IFDPWt_1FKiwhDph83XaGc0o0/edit?usp=sharing"",""งบพรบ!CH86"")"),0)</f>
        <v>0</v>
      </c>
      <c r="M173" s="93">
        <f ca="1">IFERROR(__xludf.DUMMYFUNCTION("IMPORTRANGE(""https://docs.google.com/spreadsheets/d/1MeEWN-I1oV_STSDYn1IFDPWt_1FKiwhDph83XaGc0o0/edit?usp=sharing"",""งบพรบ!CK86"")"),0)</f>
        <v>0</v>
      </c>
      <c r="N173" s="93">
        <f ca="1">IFERROR(__xludf.DUMMYFUNCTION("IMPORTRANGE(""https://docs.google.com/spreadsheets/d/1MeEWN-I1oV_STSDYn1IFDPWt_1FKiwhDph83XaGc0o0/edit?usp=sharing"",""งบพรบ!CM86"")"),0)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IFERROR(__xludf.DUMMYFUNCTION("IMPORTRANGE(""https://docs.google.com/spreadsheets/d/1QqKyyYR6Q21VydFLVH3TRQUabQu_ym0Zz7PgGX0-kHA/edit?usp=sharing"",""แผน!Y86"")"),13)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176400</v>
      </c>
      <c r="M181" s="155">
        <f t="shared" ca="1" si="92"/>
        <v>195840</v>
      </c>
      <c r="N181" s="155">
        <f t="shared" ca="1" si="92"/>
        <v>195840</v>
      </c>
      <c r="O181" s="155">
        <f t="shared" ref="O181:O189" ca="1" si="93">IF(L181&gt;0,N181*100/L181,0)</f>
        <v>111.0204081632653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176400</v>
      </c>
      <c r="M183" s="93">
        <f t="shared" ca="1" si="95"/>
        <v>195840</v>
      </c>
      <c r="N183" s="93">
        <f t="shared" ca="1" si="95"/>
        <v>195840</v>
      </c>
      <c r="O183" s="93">
        <f t="shared" ca="1" si="93"/>
        <v>111.0204081632653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176400</v>
      </c>
      <c r="M184" s="498">
        <f t="shared" ca="1" si="96"/>
        <v>195840</v>
      </c>
      <c r="N184" s="498">
        <f t="shared" ca="1" si="96"/>
        <v>195840</v>
      </c>
      <c r="O184" s="498">
        <f t="shared" ca="1" si="93"/>
        <v>111.0204081632653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IFERROR(__xludf.DUMMYFUNCTION("IMPORTRANGE(""https://docs.google.com/spreadsheets/d/1MeEWN-I1oV_STSDYn1IFDPWt_1FKiwhDph83XaGc0o0/edit?usp=sharing"",""งบพรบ!CO86"")"),176400)</f>
        <v>176400</v>
      </c>
      <c r="M186" s="93">
        <f ca="1">IFERROR(__xludf.DUMMYFUNCTION("IMPORTRANGE(""https://docs.google.com/spreadsheets/d/1MeEWN-I1oV_STSDYn1IFDPWt_1FKiwhDph83XaGc0o0/edit?usp=sharing"",""งบพรบ!CT86"")"),195840)</f>
        <v>195840</v>
      </c>
      <c r="N186" s="93">
        <f ca="1">IFERROR(__xludf.DUMMYFUNCTION("IMPORTRANGE(""https://docs.google.com/spreadsheets/d/1MeEWN-I1oV_STSDYn1IFDPWt_1FKiwhDph83XaGc0o0/edit?usp=sharing"",""งบพรบ!CV86"")"),195840)</f>
        <v>195840</v>
      </c>
      <c r="O186" s="93">
        <f t="shared" ca="1" si="93"/>
        <v>111.0204081632653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IFERROR(__xludf.DUMMYFUNCTION("IMPORTRANGE(""https://docs.google.com/spreadsheets/d/1MeEWN-I1oV_STSDYn1IFDPWt_1FKiwhDph83XaGc0o0/edit?usp=sharing"",""งบพรบ!CR86"")"),0)</f>
        <v>0</v>
      </c>
      <c r="M189" s="93">
        <f ca="1">IFERROR(__xludf.DUMMYFUNCTION("IMPORTRANGE(""https://docs.google.com/spreadsheets/d/1MeEWN-I1oV_STSDYn1IFDPWt_1FKiwhDph83XaGc0o0/edit?usp=sharing"",""งบพรบ!CU86"")"),0)</f>
        <v>0</v>
      </c>
      <c r="N189" s="93">
        <f ca="1">IFERROR(__xludf.DUMMYFUNCTION("IMPORTRANGE(""https://docs.google.com/spreadsheets/d/1MeEWN-I1oV_STSDYn1IFDPWt_1FKiwhDph83XaGc0o0/edit?usp=sharing"",""งบพรบ!CW86"")"),0)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IFERROR(__xludf.DUMMYFUNCTION("IMPORTRANGE(""https://docs.google.com/spreadsheets/d/1QqKyyYR6Q21VydFLVH3TRQUabQu_ym0Zz7PgGX0-kHA/edit?usp=sharing"",""แผน!Z86"")"),6000)</f>
        <v>6000</v>
      </c>
      <c r="M191" s="155"/>
      <c r="N191" s="276">
        <v>4500</v>
      </c>
      <c r="O191" s="155">
        <f ca="1">IF(L191&gt;0,N191*100/L191,0)</f>
        <v>75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IFERROR(__xludf.DUMMYFUNCTION("IMPORTRANGE(""https://docs.google.com/spreadsheets/d/1QqKyyYR6Q21VydFLVH3TRQUabQu_ym0Zz7PgGX0-kHA/edit?usp=sharing"",""แผน!AC86"")"),4)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194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194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5</v>
      </c>
      <c r="J197" s="272">
        <f t="shared" si="99"/>
        <v>5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65000</v>
      </c>
      <c r="M198" s="155"/>
      <c r="N198" s="155">
        <f>N199+N200+N201+N202</f>
        <v>65000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IFERROR(__xludf.DUMMYFUNCTION("IMPORTRANGE(""https://docs.google.com/spreadsheets/d/1QqKyyYR6Q21VydFLVH3TRQUabQu_ym0Zz7PgGX0-kHA/edit?usp=sharing"",""แผน!AE86"")"),5000)</f>
        <v>5000</v>
      </c>
      <c r="M199" s="498"/>
      <c r="N199" s="826">
        <v>5000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IFERROR(__xludf.DUMMYFUNCTION("IMPORTRANGE(""https://docs.google.com/spreadsheets/d/1QqKyyYR6Q21VydFLVH3TRQUabQu_ym0Zz7PgGX0-kHA/edit?usp=sharing"",""แผน!AF86"")"),40000)</f>
        <v>40000</v>
      </c>
      <c r="M200" s="498"/>
      <c r="N200" s="826">
        <v>40000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IFERROR(__xludf.DUMMYFUNCTION("IMPORTRANGE(""https://docs.google.com/spreadsheets/d/1QqKyyYR6Q21VydFLVH3TRQUabQu_ym0Zz7PgGX0-kHA/edit?usp=sharing"",""แผน!AG86"")"),20000)</f>
        <v>20000</v>
      </c>
      <c r="M201" s="498"/>
      <c r="N201" s="826">
        <v>20000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IFERROR(__xludf.DUMMYFUNCTION("IMPORTRANGE(""https://docs.google.com/spreadsheets/d/1QqKyyYR6Q21VydFLVH3TRQUabQu_ym0Zz7PgGX0-kHA/edit?usp=sharing"",""แผน!AH86"")"),0)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IFERROR(__xludf.DUMMYFUNCTION("IMPORTRANGE(""https://docs.google.com/spreadsheets/d/1QqKyyYR6Q21VydFLVH3TRQUabQu_ym0Zz7PgGX0-kHA/edit?usp=sharing"",""แผน!AI86"")"),5)</f>
        <v>5</v>
      </c>
      <c r="J204" s="215">
        <v>5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5</v>
      </c>
      <c r="J206" s="215">
        <v>5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7</v>
      </c>
      <c r="J208" s="272">
        <f t="shared" si="101"/>
        <v>7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98000</v>
      </c>
      <c r="M209" s="155"/>
      <c r="N209" s="155">
        <f>N210+N211+N212</f>
        <v>95950</v>
      </c>
      <c r="O209" s="155">
        <f ca="1">IF(L209&gt;0,N209*100/L209,0)</f>
        <v>97.908163265306129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IFERROR(__xludf.DUMMYFUNCTION("IMPORTRANGE(""https://docs.google.com/spreadsheets/d/1QqKyyYR6Q21VydFLVH3TRQUabQu_ym0Zz7PgGX0-kHA/edit?usp=sharing"",""แผน!AK86"")"),7000)</f>
        <v>7000</v>
      </c>
      <c r="M210" s="498"/>
      <c r="N210" s="826">
        <v>4950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IFERROR(__xludf.DUMMYFUNCTION("IMPORTRANGE(""https://docs.google.com/spreadsheets/d/1QqKyyYR6Q21VydFLVH3TRQUabQu_ym0Zz7PgGX0-kHA/edit?usp=sharing"",""แผน!AL86"")"),35000)</f>
        <v>35000</v>
      </c>
      <c r="M211" s="498"/>
      <c r="N211" s="826">
        <v>35000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IFERROR(__xludf.DUMMYFUNCTION("IMPORTRANGE(""https://docs.google.com/spreadsheets/d/1QqKyyYR6Q21VydFLVH3TRQUabQu_ym0Zz7PgGX0-kHA/edit?usp=sharing"",""แผน!AM86"")"),56000)</f>
        <v>56000</v>
      </c>
      <c r="M212" s="498"/>
      <c r="N212" s="826">
        <v>56000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IFERROR(__xludf.DUMMYFUNCTION("IMPORTRANGE(""https://docs.google.com/spreadsheets/d/1QqKyyYR6Q21VydFLVH3TRQUabQu_ym0Zz7PgGX0-kHA/edit?usp=sharing"",""แผน!AN86"")"),7)</f>
        <v>7</v>
      </c>
      <c r="J214" s="215">
        <v>7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IFERROR(__xludf.DUMMYFUNCTION("IMPORTRANGE(""https://docs.google.com/spreadsheets/d/1QqKyyYR6Q21VydFLVH3TRQUabQu_ym0Zz7PgGX0-kHA/edit?usp=sharing"",""แผน!AN86"")"),7)</f>
        <v>7</v>
      </c>
      <c r="J215" s="215">
        <v>7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7400</v>
      </c>
      <c r="M217" s="155"/>
      <c r="N217" s="155">
        <f>N218+N219+N220</f>
        <v>350</v>
      </c>
      <c r="O217" s="155">
        <f ca="1">IF(L217&gt;0,N217*100/L217,0)</f>
        <v>4.7297297297297298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IFERROR(__xludf.DUMMYFUNCTION("IMPORTRANGE(""https://docs.google.com/spreadsheets/d/1QqKyyYR6Q21VydFLVH3TRQUabQu_ym0Zz7PgGX0-kHA/edit?usp=sharing"",""แผน!AP86"")"),3000)</f>
        <v>3000</v>
      </c>
      <c r="M218" s="498"/>
      <c r="N218" s="826">
        <v>350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IFERROR(__xludf.DUMMYFUNCTION("IMPORTRANGE(""https://docs.google.com/spreadsheets/d/1QqKyyYR6Q21VydFLVH3TRQUabQu_ym0Zz7PgGX0-kHA/edit?usp=sharing"",""แผน!AQ86"")"),4400)</f>
        <v>4400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IFERROR(__xludf.DUMMYFUNCTION("IMPORTRANGE(""https://docs.google.com/spreadsheets/d/1QqKyyYR6Q21VydFLVH3TRQUabQu_ym0Zz7PgGX0-kHA/edit?usp=sharing"",""แผน!AR86"")"),0)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IFERROR(__xludf.DUMMYFUNCTION("IMPORTRANGE(""https://docs.google.com/spreadsheets/d/1QqKyyYR6Q21VydFLVH3TRQUabQu_ym0Zz7PgGX0-kHA/edit?usp=sharing"",""แผน!AT86"")"),15000)</f>
        <v>15000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IFERROR(__xludf.DUMMYFUNCTION("IMPORTRANGE(""https://docs.google.com/spreadsheets/d/1QqKyyYR6Q21VydFLVH3TRQUabQu_ym0Zz7PgGX0-kHA/edit?usp=sharing"",""แผน!AT86"")"),15000)</f>
        <v>15000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IFERROR(__xludf.DUMMYFUNCTION("IMPORTRANGE(""https://docs.google.com/spreadsheets/d/1QqKyyYR6Q21VydFLVH3TRQUabQu_ym0Zz7PgGX0-kHA/edit?usp=sharing"",""แผน!AS86"")"),0)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IFERROR(__xludf.DUMMYFUNCTION("IMPORTRANGE(""https://docs.google.com/spreadsheets/d/1QqKyyYR6Q21VydFLVH3TRQUabQu_ym0Zz7PgGX0-kHA/edit?usp=sharing"",""แผน!AV86"")"),0)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IFERROR(__xludf.DUMMYFUNCTION("IMPORTRANGE(""https://docs.google.com/spreadsheets/d/1QqKyyYR6Q21VydFLVH3TRQUabQu_ym0Zz7PgGX0-kHA/edit?usp=sharing"",""แผน!AW86"")"),0)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IFERROR(__xludf.DUMMYFUNCTION("IMPORTRANGE(""https://docs.google.com/spreadsheets/d/1QqKyyYR6Q21VydFLVH3TRQUabQu_ym0Zz7PgGX0-kHA/edit?usp=sharing"",""แผน!AX86"")"),0)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IFERROR(__xludf.DUMMYFUNCTION("IMPORTRANGE(""https://docs.google.com/spreadsheets/d/1QqKyyYR6Q21VydFLVH3TRQUabQu_ym0Zz7PgGX0-kHA/edit?usp=sharing"",""แผน!AY86"")"),0)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IFERROR(__xludf.DUMMYFUNCTION("IMPORTRANGE(""https://docs.google.com/spreadsheets/d/1QqKyyYR6Q21VydFLVH3TRQUabQu_ym0Zz7PgGX0-kHA/edit?usp=sharing"",""แผน!BE86"")"),0)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IFERROR(__xludf.DUMMYFUNCTION("IMPORTRANGE(""https://docs.google.com/spreadsheets/d/1QqKyyYR6Q21VydFLVH3TRQUabQu_ym0Zz7PgGX0-kHA/edit?usp=sharing"",""แผน!AZ86"")"),0)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IFERROR(__xludf.DUMMYFUNCTION("IMPORTRANGE(""https://docs.google.com/spreadsheets/d/1QqKyyYR6Q21VydFLVH3TRQUabQu_ym0Zz7PgGX0-kHA/edit?usp=sharing"",""แผน!BA86"")"),0)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IFERROR(__xludf.DUMMYFUNCTION("IMPORTRANGE(""https://docs.google.com/spreadsheets/d/1QqKyyYR6Q21VydFLVH3TRQUabQu_ym0Zz7PgGX0-kHA/edit?usp=sharing"",""แผน!BB86"")"),0)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IFERROR(__xludf.DUMMYFUNCTION("IMPORTRANGE(""https://docs.google.com/spreadsheets/d/1QqKyyYR6Q21VydFLVH3TRQUabQu_ym0Zz7PgGX0-kHA/edit?usp=sharing"",""แผน!BC86"")"),0)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IFERROR(__xludf.DUMMYFUNCTION("IMPORTRANGE(""https://docs.google.com/spreadsheets/d/1QqKyyYR6Q21VydFLVH3TRQUabQu_ym0Zz7PgGX0-kHA/edit?usp=sharing"",""แผน!BF86"")"),0)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25000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IFERROR(__xludf.DUMMYFUNCTION("IMPORTRANGE(""https://docs.google.com/spreadsheets/d/1MeEWN-I1oV_STSDYn1IFDPWt_1FKiwhDph83XaGc0o0/edit?usp=sharing"",""งบพรบ!CY86"")"),25000)</f>
        <v>25000</v>
      </c>
      <c r="M266" s="93">
        <f ca="1">IFERROR(__xludf.DUMMYFUNCTION("IMPORTRANGE(""https://docs.google.com/spreadsheets/d/1MeEWN-I1oV_STSDYn1IFDPWt_1FKiwhDph83XaGc0o0/edit?usp=sharing"",""งบพรบ!DD86"")"),25000)</f>
        <v>25000</v>
      </c>
      <c r="N266" s="93">
        <f ca="1">IFERROR(__xludf.DUMMYFUNCTION("IMPORTRANGE(""https://docs.google.com/spreadsheets/d/1MeEWN-I1oV_STSDYn1IFDPWt_1FKiwhDph83XaGc0o0/edit?usp=sharing"",""งบพรบ!DF86"")"),0)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IFERROR(__xludf.DUMMYFUNCTION("IMPORTRANGE(""https://docs.google.com/spreadsheets/d/1MeEWN-I1oV_STSDYn1IFDPWt_1FKiwhDph83XaGc0o0/edit?usp=sharing"",""งบพรบ!DB86"")"),0)</f>
        <v>0</v>
      </c>
      <c r="M269" s="93">
        <f ca="1">IFERROR(__xludf.DUMMYFUNCTION("IMPORTRANGE(""https://docs.google.com/spreadsheets/d/1MeEWN-I1oV_STSDYn1IFDPWt_1FKiwhDph83XaGc0o0/edit?usp=sharing"",""งบพรบ!DE86"")"),0)</f>
        <v>0</v>
      </c>
      <c r="N269" s="93">
        <f ca="1">IFERROR(__xludf.DUMMYFUNCTION("IMPORTRANGE(""https://docs.google.com/spreadsheets/d/1MeEWN-I1oV_STSDYn1IFDPWt_1FKiwhDph83XaGc0o0/edit?usp=sharing"",""งบพรบ!DG86"")"),0)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IFERROR(__xludf.DUMMYFUNCTION("IMPORTRANGE(""https://docs.google.com/spreadsheets/d/1QqKyyYR6Q21VydFLVH3TRQUabQu_ym0Zz7PgGX0-kHA/edit?usp=sharing"",""แผน!EA86"")"),20)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IFERROR(__xludf.DUMMYFUNCTION("IMPORTRANGE(""https://docs.google.com/spreadsheets/d/1MeEWN-I1oV_STSDYn1IFDPWt_1FKiwhDph83XaGc0o0/edit?usp=sharing"",""งบพรบ!DI86"")"),0)</f>
        <v>0</v>
      </c>
      <c r="M282" s="93">
        <f ca="1">IFERROR(__xludf.DUMMYFUNCTION("IMPORTRANGE(""https://docs.google.com/spreadsheets/d/1MeEWN-I1oV_STSDYn1IFDPWt_1FKiwhDph83XaGc0o0/edit?usp=sharing"",""งบพรบ!DN86"")"),0)</f>
        <v>0</v>
      </c>
      <c r="N282" s="93">
        <f ca="1">IFERROR(__xludf.DUMMYFUNCTION("IMPORTRANGE(""https://docs.google.com/spreadsheets/d/1MeEWN-I1oV_STSDYn1IFDPWt_1FKiwhDph83XaGc0o0/edit?usp=sharing"",""งบพรบ!DP86"")"),0)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IFERROR(__xludf.DUMMYFUNCTION("IMPORTRANGE(""https://docs.google.com/spreadsheets/d/1MeEWN-I1oV_STSDYn1IFDPWt_1FKiwhDph83XaGc0o0/edit?usp=sharing"",""งบพรบ!DL86"")"),0)</f>
        <v>0</v>
      </c>
      <c r="M285" s="93">
        <f ca="1">IFERROR(__xludf.DUMMYFUNCTION("IMPORTRANGE(""https://docs.google.com/spreadsheets/d/1MeEWN-I1oV_STSDYn1IFDPWt_1FKiwhDph83XaGc0o0/edit?usp=sharing"",""งบพรบ!DO86"")"),0)</f>
        <v>0</v>
      </c>
      <c r="N285" s="93">
        <f ca="1">IFERROR(__xludf.DUMMYFUNCTION("IMPORTRANGE(""https://docs.google.com/spreadsheets/d/1MeEWN-I1oV_STSDYn1IFDPWt_1FKiwhDph83XaGc0o0/edit?usp=sharing"",""งบพรบ!DQ86"")"),0)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IFERROR(__xludf.DUMMYFUNCTION("IMPORTRANGE(""https://docs.google.com/spreadsheets/d/1QqKyyYR6Q21VydFLVH3TRQUabQu_ym0Zz7PgGX0-kHA/edit?usp=sharing"",""แผน!EC86"")"),0)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IFERROR(__xludf.DUMMYFUNCTION("IMPORTRANGE(""https://docs.google.com/spreadsheets/d/1QqKyyYR6Q21VydFLVH3TRQUabQu_ym0Zz7PgGX0-kHA/edit?usp=sharing"",""แผน!EB86"")"),0)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IFERROR(__xludf.DUMMYFUNCTION("IMPORTRANGE(""https://docs.google.com/spreadsheets/d/1QqKyyYR6Q21VydFLVH3TRQUabQu_ym0Zz7PgGX0-kHA/edit?usp=sharing"",""แผน!EB86"")"),0)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IFERROR(__xludf.DUMMYFUNCTION("IMPORTRANGE(""https://docs.google.com/spreadsheets/d/1QqKyyYR6Q21VydFLVH3TRQUabQu_ym0Zz7PgGX0-kHA/edit?usp=sharing"",""แผน!EB86"")"),0)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IFERROR(__xludf.DUMMYFUNCTION("IMPORTRANGE(""https://docs.google.com/spreadsheets/d/1QqKyyYR6Q21VydFLVH3TRQUabQu_ym0Zz7PgGX0-kHA/edit?usp=sharing"",""แผน!EB86"")"),0)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IFERROR(__xludf.DUMMYFUNCTION("IMPORTRANGE(""https://docs.google.com/spreadsheets/d/1QqKyyYR6Q21VydFLVH3TRQUabQu_ym0Zz7PgGX0-kHA/edit?usp=sharing"",""แผน!EB86"")"),0)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81140</v>
      </c>
      <c r="O298" s="155">
        <f t="shared" ref="O298:O306" ca="1" si="136">IF(L298&gt;0,N298*100/L298,0)</f>
        <v>98.470873786407765</v>
      </c>
      <c r="P298" s="155">
        <f t="shared" ref="P298:P306" ca="1" si="137">IF(M298&gt;0,N298*100/M298,0)</f>
        <v>98.470873786407765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81140</v>
      </c>
      <c r="O300" s="93">
        <f t="shared" ca="1" si="136"/>
        <v>98.470873786407765</v>
      </c>
      <c r="P300" s="93">
        <f t="shared" ca="1" si="137"/>
        <v>98.470873786407765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81140</v>
      </c>
      <c r="O301" s="498">
        <f t="shared" ca="1" si="136"/>
        <v>98.470873786407765</v>
      </c>
      <c r="P301" s="498">
        <f t="shared" ca="1" si="137"/>
        <v>98.470873786407765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IFERROR(__xludf.DUMMYFUNCTION("IMPORTRANGE(""https://docs.google.com/spreadsheets/d/1MeEWN-I1oV_STSDYn1IFDPWt_1FKiwhDph83XaGc0o0/edit?usp=sharing"",""งบพรบ!DS86"")"),82400)</f>
        <v>82400</v>
      </c>
      <c r="M303" s="93">
        <f ca="1">IFERROR(__xludf.DUMMYFUNCTION("IMPORTRANGE(""https://docs.google.com/spreadsheets/d/1MeEWN-I1oV_STSDYn1IFDPWt_1FKiwhDph83XaGc0o0/edit?usp=sharing"",""งบพรบ!DX86"")"),82400)</f>
        <v>82400</v>
      </c>
      <c r="N303" s="93">
        <f ca="1">IFERROR(__xludf.DUMMYFUNCTION("IMPORTRANGE(""https://docs.google.com/spreadsheets/d/1MeEWN-I1oV_STSDYn1IFDPWt_1FKiwhDph83XaGc0o0/edit?usp=sharing"",""งบพรบ!DZ86"")"),81140)</f>
        <v>81140</v>
      </c>
      <c r="O303" s="93">
        <f t="shared" ca="1" si="136"/>
        <v>98.470873786407765</v>
      </c>
      <c r="P303" s="93">
        <f t="shared" ca="1" si="137"/>
        <v>98.470873786407765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IFERROR(__xludf.DUMMYFUNCTION("IMPORTRANGE(""https://docs.google.com/spreadsheets/d/1MeEWN-I1oV_STSDYn1IFDPWt_1FKiwhDph83XaGc0o0/edit?usp=sharing"",""งบพรบ!DV86"")"),0)</f>
        <v>0</v>
      </c>
      <c r="M306" s="93">
        <f ca="1">IFERROR(__xludf.DUMMYFUNCTION("IMPORTRANGE(""https://docs.google.com/spreadsheets/d/1MeEWN-I1oV_STSDYn1IFDPWt_1FKiwhDph83XaGc0o0/edit?usp=sharing"",""งบพรบ!DY86"")"),0)</f>
        <v>0</v>
      </c>
      <c r="N306" s="93">
        <f ca="1">IFERROR(__xludf.DUMMYFUNCTION("IMPORTRANGE(""https://docs.google.com/spreadsheets/d/1MeEWN-I1oV_STSDYn1IFDPWt_1FKiwhDph83XaGc0o0/edit?usp=sharing"",""งบพรบ!EA86"")"),0)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IFERROR(__xludf.DUMMYFUNCTION("IMPORTRANGE(""https://docs.google.com/spreadsheets/d/1QqKyyYR6Q21VydFLVH3TRQUabQu_ym0Zz7PgGX0-kHA/edit?usp=sharing"",""แผน!ED86"")"),20)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IFERROR(__xludf.DUMMYFUNCTION("IMPORTRANGE(""https://docs.google.com/spreadsheets/d/1QqKyyYR6Q21VydFLVH3TRQUabQu_ym0Zz7PgGX0-kHA/edit?usp=sharing"",""แผน!ED86"")"),20)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IFERROR(__xludf.DUMMYFUNCTION("IMPORTRANGE(""https://docs.google.com/spreadsheets/d/1QqKyyYR6Q21VydFLVH3TRQUabQu_ym0Zz7PgGX0-kHA/edit?usp=sharing"",""แผน!ED86"")"),20)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IFERROR(__xludf.DUMMYFUNCTION("IMPORTRANGE(""https://docs.google.com/spreadsheets/d/1QqKyyYR6Q21VydFLVH3TRQUabQu_ym0Zz7PgGX0-kHA/edit?usp=sharing"",""แผน!EE86"")"),4)</f>
        <v>4</v>
      </c>
      <c r="J312" s="215">
        <v>4</v>
      </c>
      <c r="K312" s="498">
        <f t="shared" ca="1" si="141"/>
        <v>100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296000</v>
      </c>
      <c r="M315" s="155">
        <f t="shared" ca="1" si="143"/>
        <v>349620</v>
      </c>
      <c r="N315" s="155">
        <f t="shared" ca="1" si="143"/>
        <v>211064</v>
      </c>
      <c r="O315" s="155">
        <f t="shared" ref="O315:O323" ca="1" si="144">IF(L315&gt;0,N315*100/L315,0)</f>
        <v>71.305405405405409</v>
      </c>
      <c r="P315" s="155">
        <f t="shared" ref="P315:P323" ca="1" si="145">IF(M315&gt;0,N315*100/M315,0)</f>
        <v>60.369544076425832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296000</v>
      </c>
      <c r="M317" s="93">
        <f t="shared" ca="1" si="146"/>
        <v>349620</v>
      </c>
      <c r="N317" s="93">
        <f t="shared" ca="1" si="146"/>
        <v>211064</v>
      </c>
      <c r="O317" s="93">
        <f t="shared" ca="1" si="144"/>
        <v>71.305405405405409</v>
      </c>
      <c r="P317" s="93">
        <f t="shared" ca="1" si="145"/>
        <v>60.369544076425832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296000</v>
      </c>
      <c r="M318" s="498">
        <f t="shared" ca="1" si="147"/>
        <v>296000</v>
      </c>
      <c r="N318" s="498">
        <f t="shared" ca="1" si="147"/>
        <v>211064</v>
      </c>
      <c r="O318" s="498">
        <f t="shared" ca="1" si="144"/>
        <v>71.305405405405409</v>
      </c>
      <c r="P318" s="498">
        <f t="shared" ca="1" si="145"/>
        <v>71.305405405405409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IFERROR(__xludf.DUMMYFUNCTION("IMPORTRANGE(""https://docs.google.com/spreadsheets/d/1MeEWN-I1oV_STSDYn1IFDPWt_1FKiwhDph83XaGc0o0/edit?usp=sharing"",""งบพรบ!EC86"")"),296000)</f>
        <v>296000</v>
      </c>
      <c r="M320" s="93">
        <f ca="1">IFERROR(__xludf.DUMMYFUNCTION("IMPORTRANGE(""https://docs.google.com/spreadsheets/d/1MeEWN-I1oV_STSDYn1IFDPWt_1FKiwhDph83XaGc0o0/edit?usp=sharing"",""งบพรบ!EH86"")"),296000)</f>
        <v>296000</v>
      </c>
      <c r="N320" s="93">
        <f ca="1">IFERROR(__xludf.DUMMYFUNCTION("IMPORTRANGE(""https://docs.google.com/spreadsheets/d/1MeEWN-I1oV_STSDYn1IFDPWt_1FKiwhDph83XaGc0o0/edit?usp=sharing"",""งบพรบ!EJ86"")"),211064)</f>
        <v>211064</v>
      </c>
      <c r="O320" s="93">
        <f t="shared" ca="1" si="144"/>
        <v>71.305405405405409</v>
      </c>
      <c r="P320" s="93">
        <f t="shared" ca="1" si="145"/>
        <v>71.305405405405409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53620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IFERROR(__xludf.DUMMYFUNCTION("IMPORTRANGE(""https://docs.google.com/spreadsheets/d/1MeEWN-I1oV_STSDYn1IFDPWt_1FKiwhDph83XaGc0o0/edit?usp=sharing"",""งบพรบ!EF86"")"),0)</f>
        <v>0</v>
      </c>
      <c r="M323" s="93">
        <f ca="1">IFERROR(__xludf.DUMMYFUNCTION("IMPORTRANGE(""https://docs.google.com/spreadsheets/d/1MeEWN-I1oV_STSDYn1IFDPWt_1FKiwhDph83XaGc0o0/edit?usp=sharing"",""งบพรบ!EI86"")"),53620)</f>
        <v>53620</v>
      </c>
      <c r="N323" s="93">
        <f ca="1">IFERROR(__xludf.DUMMYFUNCTION("IMPORTRANGE(""https://docs.google.com/spreadsheets/d/1MeEWN-I1oV_STSDYn1IFDPWt_1FKiwhDph83XaGc0o0/edit?usp=sharing"",""งบพรบ!EK86"")"),0)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IFERROR(__xludf.DUMMYFUNCTION("IMPORTRANGE(""https://docs.google.com/spreadsheets/d/1QqKyyYR6Q21VydFLVH3TRQUabQu_ym0Zz7PgGX0-kHA/edit?usp=sharing"",""แผน!EF86"")"),1)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IFERROR(__xludf.DUMMYFUNCTION("IMPORTRANGE(""https://docs.google.com/spreadsheets/d/1QqKyyYR6Q21VydFLVH3TRQUabQu_ym0Zz7PgGX0-kHA/edit?usp=sharing"",""แผน!EG86"")"),1300)</f>
        <v>1300</v>
      </c>
      <c r="J327" s="445">
        <f ca="1">J338+J341+J342+J343</f>
        <v>3229</v>
      </c>
      <c r="K327" s="446">
        <f ca="1">IF(I327&gt;0,J327*100/I327,0)</f>
        <v>248.38461538461539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168000</v>
      </c>
      <c r="M328" s="155">
        <f t="shared" ca="1" si="149"/>
        <v>170500</v>
      </c>
      <c r="N328" s="155">
        <f t="shared" ca="1" si="149"/>
        <v>115848</v>
      </c>
      <c r="O328" s="155">
        <f t="shared" ref="O328:O336" ca="1" si="150">IF(L328&gt;0,N328*100/L328,0)</f>
        <v>68.957142857142856</v>
      </c>
      <c r="P328" s="155">
        <f t="shared" ref="P328:P336" ca="1" si="151">IF(M328&gt;0,N328*100/M328,0)</f>
        <v>67.946041055718482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168000</v>
      </c>
      <c r="M330" s="93">
        <f t="shared" ca="1" si="152"/>
        <v>170500</v>
      </c>
      <c r="N330" s="93">
        <f t="shared" ca="1" si="152"/>
        <v>115848</v>
      </c>
      <c r="O330" s="93">
        <f t="shared" ca="1" si="150"/>
        <v>68.957142857142856</v>
      </c>
      <c r="P330" s="93">
        <f t="shared" ca="1" si="151"/>
        <v>67.946041055718482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168000</v>
      </c>
      <c r="M331" s="498">
        <f t="shared" ca="1" si="153"/>
        <v>170500</v>
      </c>
      <c r="N331" s="498">
        <f t="shared" ca="1" si="153"/>
        <v>115848</v>
      </c>
      <c r="O331" s="498">
        <f t="shared" ca="1" si="150"/>
        <v>68.957142857142856</v>
      </c>
      <c r="P331" s="498">
        <f t="shared" ca="1" si="151"/>
        <v>67.946041055718482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IFERROR(__xludf.DUMMYFUNCTION("IMPORTRANGE(""https://docs.google.com/spreadsheets/d/1MeEWN-I1oV_STSDYn1IFDPWt_1FKiwhDph83XaGc0o0/edit?usp=sharing"",""งบพรบ!EM86"")"),168000)</f>
        <v>168000</v>
      </c>
      <c r="M333" s="93">
        <f ca="1">IFERROR(__xludf.DUMMYFUNCTION("IMPORTRANGE(""https://docs.google.com/spreadsheets/d/1MeEWN-I1oV_STSDYn1IFDPWt_1FKiwhDph83XaGc0o0/edit?usp=sharing"",""งบพรบ!ER86"")"),170500)</f>
        <v>170500</v>
      </c>
      <c r="N333" s="93">
        <f ca="1">IFERROR(__xludf.DUMMYFUNCTION("IMPORTRANGE(""https://docs.google.com/spreadsheets/d/1MeEWN-I1oV_STSDYn1IFDPWt_1FKiwhDph83XaGc0o0/edit?usp=sharing"",""งบพรบ!ET86"")"),115848)</f>
        <v>115848</v>
      </c>
      <c r="O333" s="93">
        <f t="shared" ca="1" si="150"/>
        <v>68.957142857142856</v>
      </c>
      <c r="P333" s="93">
        <f t="shared" ca="1" si="151"/>
        <v>67.946041055718482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IFERROR(__xludf.DUMMYFUNCTION("IMPORTRANGE(""https://docs.google.com/spreadsheets/d/1MeEWN-I1oV_STSDYn1IFDPWt_1FKiwhDph83XaGc0o0/edit?usp=sharing"",""งบพรบ!EP86"")"),0)</f>
        <v>0</v>
      </c>
      <c r="M336" s="93">
        <f ca="1">IFERROR(__xludf.DUMMYFUNCTION("IMPORTRANGE(""https://docs.google.com/spreadsheets/d/1MeEWN-I1oV_STSDYn1IFDPWt_1FKiwhDph83XaGc0o0/edit?usp=sharing"",""งบพรบ!ES86"")"),0)</f>
        <v>0</v>
      </c>
      <c r="N336" s="93">
        <f ca="1">IFERROR(__xludf.DUMMYFUNCTION("IMPORTRANGE(""https://docs.google.com/spreadsheets/d/1MeEWN-I1oV_STSDYn1IFDPWt_1FKiwhDph83XaGc0o0/edit?usp=sharing"",""งบพรบ!EU86"")"),0)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IFERROR(__xludf.DUMMYFUNCTION("IMPORTRANGE(""https://docs.google.com/spreadsheets/d/1QqKyyYR6Q21VydFLVH3TRQUabQu_ym0Zz7PgGX0-kHA/edit?usp=sharing"",""แผน!EG86"")"),1300)</f>
        <v>1300</v>
      </c>
      <c r="J338" s="270">
        <f ca="1">IFERROR(__xludf.DUMMYFUNCTION("IMPORTRANGE(""https://docs.google.com/spreadsheets/d/1kVcqe37tkHyjCSG3S0O1AXqVkqjo8mSIZil3BcpIysc/edit?usp=sharing"",""ศูนย์!D86"")"),3067)</f>
        <v>3067</v>
      </c>
      <c r="K338" s="498">
        <f ca="1">IF(I338&gt;0,J338*100/I338,0)</f>
        <v>235.92307692307693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IFERROR(__xludf.DUMMYFUNCTION("IMPORTRANGE(""https://docs.google.com/spreadsheets/d/1QqKyyYR6Q21VydFLVH3TRQUabQu_ym0Zz7PgGX0-kHA/edit?usp=sharing"",""แผน!EH86"")"),5)</f>
        <v>5</v>
      </c>
      <c r="J340" s="270">
        <f ca="1">IFERROR(__xludf.DUMMYFUNCTION("IMPORTRANGE(""https://docs.google.com/spreadsheets/d/1kVcqe37tkHyjCSG3S0O1AXqVkqjo8mSIZil3BcpIysc/edit?usp=sharing"",""ศูนย์!E86"")"),2)</f>
        <v>2</v>
      </c>
      <c r="K340" s="498">
        <f ca="1">IF(I340&gt;0,J340*100/I340,0)</f>
        <v>40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IFERROR(__xludf.DUMMYFUNCTION("IMPORTRANGE(""https://docs.google.com/spreadsheets/d/1kVcqe37tkHyjCSG3S0O1AXqVkqjo8mSIZil3BcpIysc/edit?usp=sharing"",""ศูนย์!F86"")"),129)</f>
        <v>129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IFERROR(__xludf.DUMMYFUNCTION("IMPORTRANGE(""https://docs.google.com/spreadsheets/d/1kVcqe37tkHyjCSG3S0O1AXqVkqjo8mSIZil3BcpIysc/edit?usp=sharing"",""ศูนย์!G86"")"),2)</f>
        <v>2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IFERROR(__xludf.DUMMYFUNCTION("IMPORTRANGE(""https://docs.google.com/spreadsheets/d/1kVcqe37tkHyjCSG3S0O1AXqVkqjo8mSIZil3BcpIysc/edit?usp=sharing"",""ศูนย์!H86"")"),31)</f>
        <v>31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738610</v>
      </c>
      <c r="M345" s="155">
        <f t="shared" ca="1" si="155"/>
        <v>884910</v>
      </c>
      <c r="N345" s="155">
        <f t="shared" ca="1" si="155"/>
        <v>585298.44999999995</v>
      </c>
      <c r="O345" s="155">
        <f t="shared" ref="O345:O353" ca="1" si="156">IF(L345&gt;0,N345*100/L345,0)</f>
        <v>79.243233912348856</v>
      </c>
      <c r="P345" s="155">
        <f t="shared" ref="P345:P353" ca="1" si="157">IF(M345&gt;0,N345*100/M345,0)</f>
        <v>66.142144398865412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738610</v>
      </c>
      <c r="M347" s="93">
        <f t="shared" ca="1" si="158"/>
        <v>884910</v>
      </c>
      <c r="N347" s="93">
        <f t="shared" ca="1" si="158"/>
        <v>585298.44999999995</v>
      </c>
      <c r="O347" s="93">
        <f t="shared" ca="1" si="156"/>
        <v>79.243233912348856</v>
      </c>
      <c r="P347" s="93">
        <f t="shared" ca="1" si="157"/>
        <v>66.142144398865412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700810</v>
      </c>
      <c r="M348" s="498">
        <f t="shared" ca="1" si="159"/>
        <v>804710</v>
      </c>
      <c r="N348" s="498">
        <f t="shared" ca="1" si="159"/>
        <v>547498.44999999995</v>
      </c>
      <c r="O348" s="498">
        <f t="shared" ca="1" si="156"/>
        <v>78.12366404588974</v>
      </c>
      <c r="P348" s="498">
        <f t="shared" ca="1" si="157"/>
        <v>68.036739943582148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IFERROR(__xludf.DUMMYFUNCTION("IMPORTRANGE(""https://docs.google.com/spreadsheets/d/1MeEWN-I1oV_STSDYn1IFDPWt_1FKiwhDph83XaGc0o0/edit?usp=sharing"",""งบพรบ!EW86"")"),700810)</f>
        <v>700810</v>
      </c>
      <c r="M350" s="93">
        <f ca="1">IFERROR(__xludf.DUMMYFUNCTION("IMPORTRANGE(""https://docs.google.com/spreadsheets/d/1MeEWN-I1oV_STSDYn1IFDPWt_1FKiwhDph83XaGc0o0/edit?usp=sharing"",""งบพรบ!FB86"")"),804710)</f>
        <v>804710</v>
      </c>
      <c r="N350" s="93">
        <f ca="1">IFERROR(__xludf.DUMMYFUNCTION("IMPORTRANGE(""https://docs.google.com/spreadsheets/d/1MeEWN-I1oV_STSDYn1IFDPWt_1FKiwhDph83XaGc0o0/edit?usp=sharing"",""งบพรบ!FD86"")"),547498.45)</f>
        <v>547498.44999999995</v>
      </c>
      <c r="O350" s="93">
        <f t="shared" ca="1" si="156"/>
        <v>78.12366404588974</v>
      </c>
      <c r="P350" s="93">
        <f t="shared" ca="1" si="157"/>
        <v>68.036739943582148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37800</v>
      </c>
      <c r="M351" s="498">
        <f t="shared" ca="1" si="160"/>
        <v>80200</v>
      </c>
      <c r="N351" s="498">
        <f t="shared" ca="1" si="160"/>
        <v>37800</v>
      </c>
      <c r="O351" s="498">
        <f t="shared" ca="1" si="156"/>
        <v>100</v>
      </c>
      <c r="P351" s="498">
        <f t="shared" ca="1" si="157"/>
        <v>47.132169576059852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IFERROR(__xludf.DUMMYFUNCTION("IMPORTRANGE(""https://docs.google.com/spreadsheets/d/1MeEWN-I1oV_STSDYn1IFDPWt_1FKiwhDph83XaGc0o0/edit?usp=sharing"",""งบพรบ!EZ86"")"),37800)</f>
        <v>37800</v>
      </c>
      <c r="M353" s="93">
        <f ca="1">IFERROR(__xludf.DUMMYFUNCTION("IMPORTRANGE(""https://docs.google.com/spreadsheets/d/1MeEWN-I1oV_STSDYn1IFDPWt_1FKiwhDph83XaGc0o0/edit?usp=sharing"",""งบพรบ!FC86"")"),80200)</f>
        <v>80200</v>
      </c>
      <c r="N353" s="93">
        <f ca="1">IFERROR(__xludf.DUMMYFUNCTION("IMPORTRANGE(""https://docs.google.com/spreadsheets/d/1MeEWN-I1oV_STSDYn1IFDPWt_1FKiwhDph83XaGc0o0/edit?usp=sharing"",""งบพรบ!FE86"")"),37800)</f>
        <v>37800</v>
      </c>
      <c r="O353" s="93">
        <f t="shared" ca="1" si="156"/>
        <v>100</v>
      </c>
      <c r="P353" s="93">
        <f t="shared" ca="1" si="157"/>
        <v>47.132169576059852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IFERROR(__xludf.DUMMYFUNCTION("IMPORTRANGE(""https://docs.google.com/spreadsheets/d/1QqKyyYR6Q21VydFLVH3TRQUabQu_ym0Zz7PgGX0-kHA/edit?usp=sharing"",""แผน!EP86"")"),140)</f>
        <v>140</v>
      </c>
      <c r="J355" s="465">
        <f ca="1">J362</f>
        <v>88</v>
      </c>
      <c r="K355" s="466">
        <f ca="1">IF(I355&gt;0,J355*100/I355,0)</f>
        <v>62.857142857142854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IFERROR(__xludf.DUMMYFUNCTION("IMPORTRANGE(""https://docs.google.com/spreadsheets/d/1XWAQStnk-4SwqDmLtmXYiTMKHgktTP8We1SCoS47DrQ/edit?usp=sharing"",""จัดที่ดิน!W86"")"),211)</f>
        <v>211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IFERROR(__xludf.DUMMYFUNCTION("IMPORTRANGE(""https://docs.google.com/spreadsheets/d/1QqKyyYR6Q21VydFLVH3TRQUabQu_ym0Zz7PgGX0-kHA/edit?usp=sharing"",""แผน!EO86"")"),1400)</f>
        <v>1400</v>
      </c>
      <c r="J359" s="270">
        <f ca="1">IFERROR(__xludf.DUMMYFUNCTION("IMPORTRANGE(""https://docs.google.com/spreadsheets/d/1XWAQStnk-4SwqDmLtmXYiTMKHgktTP8We1SCoS47DrQ/edit?usp=sharing"",""จัดที่ดิน!X86"")"),1565.61)</f>
        <v>1565.61</v>
      </c>
      <c r="K359" s="498">
        <f t="shared" ca="1" si="161"/>
        <v>111.82928571428572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IFERROR(__xludf.DUMMYFUNCTION("IMPORTRANGE(""https://docs.google.com/spreadsheets/d/1QqKyyYR6Q21VydFLVH3TRQUabQu_ym0Zz7PgGX0-kHA/edit?usp=sharing"",""แผน!EP86"")"),140)</f>
        <v>140</v>
      </c>
      <c r="J360" s="270">
        <f ca="1">IFERROR(__xludf.DUMMYFUNCTION("IMPORTRANGE(""https://docs.google.com/spreadsheets/d/1XWAQStnk-4SwqDmLtmXYiTMKHgktTP8We1SCoS47DrQ/edit?usp=sharing"",""จัดที่ดิน!Y86"")"),176)</f>
        <v>176</v>
      </c>
      <c r="K360" s="498">
        <f t="shared" ca="1" si="161"/>
        <v>125.71428571428571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IFERROR(__xludf.DUMMYFUNCTION("IMPORTRANGE(""https://docs.google.com/spreadsheets/d/1XWAQStnk-4SwqDmLtmXYiTMKHgktTP8We1SCoS47DrQ/edit?usp=sharing"",""จัดที่ดิน!Z86"")"),1398.2)</f>
        <v>1398.2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IFERROR(__xludf.DUMMYFUNCTION("IMPORTRANGE(""https://docs.google.com/spreadsheets/d/1QqKyyYR6Q21VydFLVH3TRQUabQu_ym0Zz7PgGX0-kHA/edit?usp=sharing"",""แผน!EP86"")"),140)</f>
        <v>140</v>
      </c>
      <c r="J362" s="270">
        <f ca="1">IFERROR(__xludf.DUMMYFUNCTION("IMPORTRANGE(""https://docs.google.com/spreadsheets/d/1XWAQStnk-4SwqDmLtmXYiTMKHgktTP8We1SCoS47DrQ/edit?usp=sharing"",""จัดที่ดิน!AA86"")"),88)</f>
        <v>88</v>
      </c>
      <c r="K362" s="498">
        <f t="shared" ca="1" si="161"/>
        <v>62.857142857142854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IFERROR(__xludf.DUMMYFUNCTION("IMPORTRANGE(""https://docs.google.com/spreadsheets/d/1XWAQStnk-4SwqDmLtmXYiTMKHgktTP8We1SCoS47DrQ/edit?usp=sharing"",""จัดที่ดิน!AB86"")"),655.569999999999)</f>
        <v>655.56999999999903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290</v>
      </c>
      <c r="J364" s="479">
        <f t="shared" ca="1" si="162"/>
        <v>324</v>
      </c>
      <c r="K364" s="480">
        <f t="shared" ca="1" si="161"/>
        <v>111.72413793103448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IFERROR(__xludf.DUMMYFUNCTION("IMPORTRANGE(""https://docs.google.com/spreadsheets/d/1QqKyyYR6Q21VydFLVH3TRQUabQu_ym0Zz7PgGX0-kHA/edit?usp=sharing"",""แผน!EJ86"")"),40)</f>
        <v>40</v>
      </c>
      <c r="J365" s="491">
        <f ca="1">J372</f>
        <v>46</v>
      </c>
      <c r="K365" s="492">
        <f t="shared" ca="1" si="161"/>
        <v>115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IFERROR(__xludf.DUMMYFUNCTION("IMPORTRANGE(""https://docs.google.com/spreadsheets/d/1XWAQStnk-4SwqDmLtmXYiTMKHgktTP8We1SCoS47DrQ/edit?usp=sharing"",""จัดที่ดิน!E86"")"),63)</f>
        <v>63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IFERROR(__xludf.DUMMYFUNCTION("IMPORTRANGE(""https://docs.google.com/spreadsheets/d/1QqKyyYR6Q21VydFLVH3TRQUabQu_ym0Zz7PgGX0-kHA/edit?usp=sharing"",""แผน!EI86"")"),400)</f>
        <v>400</v>
      </c>
      <c r="J369" s="270">
        <f ca="1">IFERROR(__xludf.DUMMYFUNCTION("IMPORTRANGE(""https://docs.google.com/spreadsheets/d/1XWAQStnk-4SwqDmLtmXYiTMKHgktTP8We1SCoS47DrQ/edit?usp=sharing"",""จัดที่ดิน!F86"")"),454.4)</f>
        <v>454.4</v>
      </c>
      <c r="K369" s="498">
        <f t="shared" ca="1" si="163"/>
        <v>113.6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IFERROR(__xludf.DUMMYFUNCTION("IMPORTRANGE(""https://docs.google.com/spreadsheets/d/1QqKyyYR6Q21VydFLVH3TRQUabQu_ym0Zz7PgGX0-kHA/edit?usp=sharing"",""แผน!EJ86"")"),40)</f>
        <v>40</v>
      </c>
      <c r="J370" s="270">
        <f ca="1">IFERROR(__xludf.DUMMYFUNCTION("IMPORTRANGE(""https://docs.google.com/spreadsheets/d/1XWAQStnk-4SwqDmLtmXYiTMKHgktTP8We1SCoS47DrQ/edit?usp=sharing"",""จัดที่ดิน!G86"")"),63)</f>
        <v>63</v>
      </c>
      <c r="K370" s="498">
        <f t="shared" ca="1" si="163"/>
        <v>157.5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IFERROR(__xludf.DUMMYFUNCTION("IMPORTRANGE(""https://docs.google.com/spreadsheets/d/1XWAQStnk-4SwqDmLtmXYiTMKHgktTP8We1SCoS47DrQ/edit?usp=sharing"",""จัดที่ดิน!H86"")"),451.95)</f>
        <v>451.95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IFERROR(__xludf.DUMMYFUNCTION("IMPORTRANGE(""https://docs.google.com/spreadsheets/d/1QqKyyYR6Q21VydFLVH3TRQUabQu_ym0Zz7PgGX0-kHA/edit?usp=sharing"",""แผน!EJ86"")"),40)</f>
        <v>40</v>
      </c>
      <c r="J372" s="270">
        <f ca="1">IFERROR(__xludf.DUMMYFUNCTION("IMPORTRANGE(""https://docs.google.com/spreadsheets/d/1XWAQStnk-4SwqDmLtmXYiTMKHgktTP8We1SCoS47DrQ/edit?usp=sharing"",""จัดที่ดิน!I86"")"),46)</f>
        <v>46</v>
      </c>
      <c r="K372" s="498">
        <f t="shared" ca="1" si="163"/>
        <v>115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IFERROR(__xludf.DUMMYFUNCTION("IMPORTRANGE(""https://docs.google.com/spreadsheets/d/1XWAQStnk-4SwqDmLtmXYiTMKHgktTP8We1SCoS47DrQ/edit?usp=sharing"",""จัดที่ดิน!J86"")"),320.74)</f>
        <v>320.74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IFERROR(__xludf.DUMMYFUNCTION("IMPORTRANGE(""https://docs.google.com/spreadsheets/d/1QqKyyYR6Q21VydFLVH3TRQUabQu_ym0Zz7PgGX0-kHA/edit?usp=sharing"",""แผน!EU86"")"),250)</f>
        <v>250</v>
      </c>
      <c r="J374" s="491">
        <f ca="1">J381</f>
        <v>278</v>
      </c>
      <c r="K374" s="492">
        <f t="shared" ca="1" si="163"/>
        <v>111.2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IFERROR(__xludf.DUMMYFUNCTION("IMPORTRANGE(""https://docs.google.com/spreadsheets/d/1XWAQStnk-4SwqDmLtmXYiTMKHgktTP8We1SCoS47DrQ/edit?usp=sharing"",""จัดที่ดิน!AH86"")"),148)</f>
        <v>148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IFERROR(__xludf.DUMMYFUNCTION("IMPORTRANGE(""https://docs.google.com/spreadsheets/d/1QqKyyYR6Q21VydFLVH3TRQUabQu_ym0Zz7PgGX0-kHA/edit?usp=sharing"",""แผน!ET86"")"),1000)</f>
        <v>1000</v>
      </c>
      <c r="J378" s="270">
        <f ca="1">IFERROR(__xludf.DUMMYFUNCTION("IMPORTRANGE(""https://docs.google.com/spreadsheets/d/1XWAQStnk-4SwqDmLtmXYiTMKHgktTP8We1SCoS47DrQ/edit?usp=sharing"",""จัดที่ดิน!AI86"")"),1111.21)</f>
        <v>1111.21</v>
      </c>
      <c r="K378" s="498">
        <f t="shared" ca="1" si="164"/>
        <v>111.121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IFERROR(__xludf.DUMMYFUNCTION("IMPORTRANGE(""https://docs.google.com/spreadsheets/d/1QqKyyYR6Q21VydFLVH3TRQUabQu_ym0Zz7PgGX0-kHA/edit?usp=sharing"",""แผน!EU86"")"),250)</f>
        <v>250</v>
      </c>
      <c r="J379" s="270">
        <f ca="1">IFERROR(__xludf.DUMMYFUNCTION("IMPORTRANGE(""https://docs.google.com/spreadsheets/d/1XWAQStnk-4SwqDmLtmXYiTMKHgktTP8We1SCoS47DrQ/edit?usp=sharing"",""จัดที่ดิน!AJ86"")"),349)</f>
        <v>349</v>
      </c>
      <c r="K379" s="498">
        <f t="shared" ca="1" si="164"/>
        <v>139.6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IFERROR(__xludf.DUMMYFUNCTION("IMPORTRANGE(""https://docs.google.com/spreadsheets/d/1XWAQStnk-4SwqDmLtmXYiTMKHgktTP8We1SCoS47DrQ/edit?usp=sharing"",""จัดที่ดิน!AK86"")"),3742.26)</f>
        <v>3742.26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IFERROR(__xludf.DUMMYFUNCTION("IMPORTRANGE(""https://docs.google.com/spreadsheets/d/1QqKyyYR6Q21VydFLVH3TRQUabQu_ym0Zz7PgGX0-kHA/edit?usp=sharing"",""แผน!EU86"")"),250)</f>
        <v>250</v>
      </c>
      <c r="J381" s="270">
        <f ca="1">IFERROR(__xludf.DUMMYFUNCTION("IMPORTRANGE(""https://docs.google.com/spreadsheets/d/1XWAQStnk-4SwqDmLtmXYiTMKHgktTP8We1SCoS47DrQ/edit?usp=sharing"",""จัดที่ดิน!AL86"")"),278)</f>
        <v>278</v>
      </c>
      <c r="K381" s="498">
        <f t="shared" ca="1" si="164"/>
        <v>111.2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IFERROR(__xludf.DUMMYFUNCTION("IMPORTRANGE(""https://docs.google.com/spreadsheets/d/1XWAQStnk-4SwqDmLtmXYiTMKHgktTP8We1SCoS47DrQ/edit?usp=sharing"",""จัดที่ดิน!AM86"")"),3130.84)</f>
        <v>3130.84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IFERROR(__xludf.DUMMYFUNCTION("IMPORTRANGE(""https://docs.google.com/spreadsheets/d/1QqKyyYR6Q21VydFLVH3TRQUabQu_ym0Zz7PgGX0-kHA/edit?usp=sharing"",""แผน!EW86"")"),20)</f>
        <v>20</v>
      </c>
      <c r="J385" s="505">
        <f ca="1">IFERROR(__xludf.DUMMYFUNCTION("IMPORTRANGE(""https://docs.google.com/spreadsheets/d/1XWAQStnk-4SwqDmLtmXYiTMKHgktTP8We1SCoS47DrQ/edit?usp=sharing"",""จัดที่ดิน!AP86"")"),12)</f>
        <v>12</v>
      </c>
      <c r="K385" s="506">
        <f ca="1">IF(I385&gt;0,J385*100/I385,0)</f>
        <v>60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IFERROR(__xludf.DUMMYFUNCTION("IMPORTRANGE(""https://docs.google.com/spreadsheets/d/1MeEWN-I1oV_STSDYn1IFDPWt_1FKiwhDph83XaGc0o0/edit?usp=sharing"",""งบพรบ!FG86"")"),0)</f>
        <v>0</v>
      </c>
      <c r="M394" s="93">
        <f ca="1">IFERROR(__xludf.DUMMYFUNCTION("IMPORTRANGE(""https://docs.google.com/spreadsheets/d/1MeEWN-I1oV_STSDYn1IFDPWt_1FKiwhDph83XaGc0o0/edit?usp=sharing"",""งบพรบ!FL86"")"),0)</f>
        <v>0</v>
      </c>
      <c r="N394" s="93">
        <f ca="1">IFERROR(__xludf.DUMMYFUNCTION("IMPORTRANGE(""https://docs.google.com/spreadsheets/d/1MeEWN-I1oV_STSDYn1IFDPWt_1FKiwhDph83XaGc0o0/edit?usp=sharing"",""งบพรบ!FN86"")"),0)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IFERROR(__xludf.DUMMYFUNCTION("IMPORTRANGE(""https://docs.google.com/spreadsheets/d/1MeEWN-I1oV_STSDYn1IFDPWt_1FKiwhDph83XaGc0o0/edit?usp=sharing"",""งบพรบ!FJ86"")"),0)</f>
        <v>0</v>
      </c>
      <c r="M397" s="93">
        <f ca="1">IFERROR(__xludf.DUMMYFUNCTION("IMPORTRANGE(""https://docs.google.com/spreadsheets/d/1MeEWN-I1oV_STSDYn1IFDPWt_1FKiwhDph83XaGc0o0/edit?usp=sharing"",""งบพรบ!FM86"")"),0)</f>
        <v>0</v>
      </c>
      <c r="N397" s="93">
        <f ca="1">IFERROR(__xludf.DUMMYFUNCTION("IMPORTRANGE(""https://docs.google.com/spreadsheets/d/1MeEWN-I1oV_STSDYn1IFDPWt_1FKiwhDph83XaGc0o0/edit?usp=sharing"",""งบพรบ!FO86"")"),0)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IFERROR(__xludf.DUMMYFUNCTION("IMPORTRANGE(""https://docs.google.com/spreadsheets/d/1MeEWN-I1oV_STSDYn1IFDPWt_1FKiwhDph83XaGc0o0/edit?usp=sharing"",""งบพรบ!FQ86"")"),0)</f>
        <v>0</v>
      </c>
      <c r="M407" s="93">
        <f ca="1">IFERROR(__xludf.DUMMYFUNCTION("IMPORTRANGE(""https://docs.google.com/spreadsheets/d/1MeEWN-I1oV_STSDYn1IFDPWt_1FKiwhDph83XaGc0o0/edit?usp=sharing"",""งบพรบ!FV86"")"),0)</f>
        <v>0</v>
      </c>
      <c r="N407" s="93">
        <f ca="1">IFERROR(__xludf.DUMMYFUNCTION("IMPORTRANGE(""https://docs.google.com/spreadsheets/d/1MeEWN-I1oV_STSDYn1IFDPWt_1FKiwhDph83XaGc0o0/edit?usp=sharing"",""งบพรบ!FX86"")"),0)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IFERROR(__xludf.DUMMYFUNCTION("IMPORTRANGE(""https://docs.google.com/spreadsheets/d/1MeEWN-I1oV_STSDYn1IFDPWt_1FKiwhDph83XaGc0o0/edit?usp=sharing"",""งบพรบ!FT86"")"),0)</f>
        <v>0</v>
      </c>
      <c r="M410" s="93">
        <f ca="1">IFERROR(__xludf.DUMMYFUNCTION("IMPORTRANGE(""https://docs.google.com/spreadsheets/d/1MeEWN-I1oV_STSDYn1IFDPWt_1FKiwhDph83XaGc0o0/edit?usp=sharing"",""งบพรบ!FW86"")"),0)</f>
        <v>0</v>
      </c>
      <c r="N410" s="93">
        <f ca="1">IFERROR(__xludf.DUMMYFUNCTION("IMPORTRANGE(""https://docs.google.com/spreadsheets/d/1MeEWN-I1oV_STSDYn1IFDPWt_1FKiwhDph83XaGc0o0/edit?usp=sharing"",""งบพรบ!FY86"")"),0)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1882353</v>
      </c>
      <c r="M414" s="553">
        <f t="shared" ca="1" si="181"/>
        <v>1882353</v>
      </c>
      <c r="N414" s="553">
        <f t="shared" si="181"/>
        <v>1981679.7</v>
      </c>
      <c r="O414" s="553">
        <f ca="1">IF(L414&gt;0,N414*100/L414,0)</f>
        <v>105.27673077260216</v>
      </c>
      <c r="P414" s="553">
        <f ca="1">IF(M414&gt;0,N414*100/M414,0)</f>
        <v>105.27673077260216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0</v>
      </c>
      <c r="K418" s="570">
        <f t="shared" ca="1" si="183"/>
        <v>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78660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78660</v>
      </c>
      <c r="O421" s="93">
        <f t="shared" ca="1" si="185"/>
        <v>100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78660</v>
      </c>
      <c r="N422" s="498">
        <f t="shared" si="188"/>
        <v>78660</v>
      </c>
      <c r="O422" s="498">
        <f t="shared" ca="1" si="185"/>
        <v>100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IFERROR(__xludf.DUMMYFUNCTION("IMPORTRANGE(""https://docs.google.com/spreadsheets/d/1QqKyyYR6Q21VydFLVH3TRQUabQu_ym0Zz7PgGX0-kHA/edit?usp=sharing"",""แผน!EY86"")"),78660)</f>
        <v>78660</v>
      </c>
      <c r="M424" s="93">
        <f ca="1">L424</f>
        <v>78660</v>
      </c>
      <c r="N424" s="93">
        <f>N425+N426+N427+N428</f>
        <v>78660</v>
      </c>
      <c r="O424" s="93">
        <f t="shared" ca="1" si="185"/>
        <v>100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48400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30260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0</v>
      </c>
      <c r="K434" s="195">
        <f t="shared" ca="1" si="192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IFERROR(__xludf.DUMMYFUNCTION("IMPORTRANGE(""https://docs.google.com/spreadsheets/d/1QqKyyYR6Q21VydFLVH3TRQUabQu_ym0Zz7PgGX0-kHA/edit?usp=sharing"",""แผน!FC86"")"),20)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IFERROR(__xludf.DUMMYFUNCTION("IMPORTRANGE(""https://docs.google.com/spreadsheets/d/1QqKyyYR6Q21VydFLVH3TRQUabQu_ym0Zz7PgGX0-kHA/edit?usp=sharing"",""แผน!FD86"")"),0)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IFERROR(__xludf.DUMMYFUNCTION("IMPORTRANGE(""https://docs.google.com/spreadsheets/d/1QqKyyYR6Q21VydFLVH3TRQUabQu_ym0Zz7PgGX0-kHA/edit?usp=sharing"",""แผน!FE86"")"),0)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IFERROR(__xludf.DUMMYFUNCTION("IMPORTRANGE(""https://docs.google.com/spreadsheets/d/1QqKyyYR6Q21VydFLVH3TRQUabQu_ym0Zz7PgGX0-kHA/edit?usp=sharing"",""แผน!FF86"")"),20)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IFERROR(__xludf.DUMMYFUNCTION("IMPORTRANGE(""https://docs.google.com/spreadsheets/d/1QqKyyYR6Q21VydFLVH3TRQUabQu_ym0Zz7PgGX0-kHA/edit?usp=sharing"",""แผน!FG86"")"),1)</f>
        <v>1</v>
      </c>
      <c r="J440" s="215">
        <v>0</v>
      </c>
      <c r="K440" s="498">
        <f t="shared" ca="1" si="194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IFERROR(__xludf.DUMMYFUNCTION("IMPORTRANGE(""https://docs.google.com/spreadsheets/d/1QqKyyYR6Q21VydFLVH3TRQUabQu_ym0Zz7PgGX0-kHA/edit?usp=sharing"",""แผน!FH86"")"),0)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60</v>
      </c>
      <c r="J442" s="589">
        <f t="shared" si="195"/>
        <v>60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280</v>
      </c>
      <c r="J443" s="569">
        <f t="shared" si="196"/>
        <v>280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555600</v>
      </c>
      <c r="M444" s="195">
        <f t="shared" ca="1" si="197"/>
        <v>555600</v>
      </c>
      <c r="N444" s="195">
        <f t="shared" si="197"/>
        <v>492396</v>
      </c>
      <c r="O444" s="195">
        <f t="shared" ref="O444:O449" ca="1" si="198">IF(L444&gt;0,N444*100/L444,0)</f>
        <v>88.624190064794817</v>
      </c>
      <c r="P444" s="195">
        <f t="shared" ref="P444:P449" ca="1" si="199">IF(M444&gt;0,N444*100/M444,0)</f>
        <v>88.624190064794817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555600</v>
      </c>
      <c r="M446" s="93">
        <f t="shared" ca="1" si="200"/>
        <v>555600</v>
      </c>
      <c r="N446" s="93">
        <f t="shared" si="200"/>
        <v>492396</v>
      </c>
      <c r="O446" s="93">
        <f t="shared" ca="1" si="198"/>
        <v>88.624190064794817</v>
      </c>
      <c r="P446" s="93">
        <f t="shared" ca="1" si="199"/>
        <v>88.624190064794817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555600</v>
      </c>
      <c r="M447" s="498">
        <f t="shared" ca="1" si="201"/>
        <v>555600</v>
      </c>
      <c r="N447" s="498">
        <f t="shared" si="201"/>
        <v>492396</v>
      </c>
      <c r="O447" s="498">
        <f t="shared" ca="1" si="198"/>
        <v>88.624190064794817</v>
      </c>
      <c r="P447" s="498">
        <f t="shared" ca="1" si="199"/>
        <v>88.624190064794817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IFERROR(__xludf.DUMMYFUNCTION("IMPORTRANGE(""https://docs.google.com/spreadsheets/d/1QqKyyYR6Q21VydFLVH3TRQUabQu_ym0Zz7PgGX0-kHA/edit?usp=sharing"",""แผน!FJ86"")"),555600)</f>
        <v>555600</v>
      </c>
      <c r="M449" s="93">
        <f ca="1">L449</f>
        <v>555600</v>
      </c>
      <c r="N449" s="93">
        <f>N450+N451+N452+N453</f>
        <v>492396</v>
      </c>
      <c r="O449" s="93">
        <f t="shared" ca="1" si="198"/>
        <v>88.624190064794817</v>
      </c>
      <c r="P449" s="93">
        <f t="shared" ca="1" si="199"/>
        <v>88.624190064794817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79200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281000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103146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29050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IFERROR(__xludf.DUMMYFUNCTION("IMPORTRANGE(""https://docs.google.com/spreadsheets/d/1QqKyyYR6Q21VydFLVH3TRQUabQu_ym0Zz7PgGX0-kHA/edit?usp=sharing"",""แผน!FN86"")"),60)</f>
        <v>60</v>
      </c>
      <c r="J460" s="215">
        <v>60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IFERROR(__xludf.DUMMYFUNCTION("IMPORTRANGE(""https://docs.google.com/spreadsheets/d/1QqKyyYR6Q21VydFLVH3TRQUabQu_ym0Zz7PgGX0-kHA/edit?usp=sharing"",""แผน!FO86"")"),280)</f>
        <v>280</v>
      </c>
      <c r="J462" s="215">
        <v>280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IFERROR(__xludf.DUMMYFUNCTION("IMPORTRANGE(""https://docs.google.com/spreadsheets/d/1QqKyyYR6Q21VydFLVH3TRQUabQu_ym0Zz7PgGX0-kHA/edit?usp=sharing"",""แผน!FO86"")"),280)</f>
        <v>280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IFERROR(__xludf.DUMMYFUNCTION("IMPORTRANGE(""https://docs.google.com/spreadsheets/d/1QqKyyYR6Q21VydFLVH3TRQUabQu_ym0Zz7PgGX0-kHA/edit?usp=sharing"",""แผน!FN86"")"),60)</f>
        <v>60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IFERROR(__xludf.DUMMYFUNCTION("IMPORTRANGE(""https://docs.google.com/spreadsheets/d/1QqKyyYR6Q21VydFLVH3TRQUabQu_ym0Zz7PgGX0-kHA/edit?usp=sharing"",""แผน!FX86"")"),21)</f>
        <v>21</v>
      </c>
      <c r="J465" s="589">
        <f>J485+J489+J492</f>
        <v>21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IFERROR(__xludf.DUMMYFUNCTION("IMPORTRANGE(""https://docs.google.com/spreadsheets/d/1QqKyyYR6Q21VydFLVH3TRQUabQu_ym0Zz7PgGX0-kHA/edit?usp=sharing"",""แผน!FW86"")"),200)</f>
        <v>200</v>
      </c>
      <c r="J466" s="569">
        <f>J495+J498</f>
        <v>200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189883</v>
      </c>
      <c r="M467" s="195">
        <f t="shared" ca="1" si="206"/>
        <v>189883</v>
      </c>
      <c r="N467" s="195">
        <f t="shared" si="206"/>
        <v>183913</v>
      </c>
      <c r="O467" s="195">
        <f t="shared" ref="O467:O472" ca="1" si="207">IF(L467&gt;0,N467*100/L467,0)</f>
        <v>96.855958669285826</v>
      </c>
      <c r="P467" s="195">
        <f t="shared" ref="P467:P472" ca="1" si="208">IF(M467&gt;0,N467*100/M467,0)</f>
        <v>96.855958669285826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189883</v>
      </c>
      <c r="M469" s="93">
        <f t="shared" ca="1" si="209"/>
        <v>189883</v>
      </c>
      <c r="N469" s="93">
        <f t="shared" si="209"/>
        <v>183913</v>
      </c>
      <c r="O469" s="93">
        <f t="shared" ca="1" si="207"/>
        <v>96.855958669285826</v>
      </c>
      <c r="P469" s="93">
        <f t="shared" ca="1" si="208"/>
        <v>96.855958669285826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189883</v>
      </c>
      <c r="M470" s="498">
        <f t="shared" ca="1" si="210"/>
        <v>189883</v>
      </c>
      <c r="N470" s="498">
        <f t="shared" si="210"/>
        <v>183913</v>
      </c>
      <c r="O470" s="498">
        <f t="shared" ca="1" si="207"/>
        <v>96.855958669285826</v>
      </c>
      <c r="P470" s="498">
        <f t="shared" ca="1" si="208"/>
        <v>96.855958669285826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IFERROR(__xludf.DUMMYFUNCTION("IMPORTRANGE(""https://docs.google.com/spreadsheets/d/1QqKyyYR6Q21VydFLVH3TRQUabQu_ym0Zz7PgGX0-kHA/edit?usp=sharing"",""แผน!FS86"")"),189883)</f>
        <v>189883</v>
      </c>
      <c r="M472" s="93">
        <f ca="1">L472</f>
        <v>189883</v>
      </c>
      <c r="N472" s="93">
        <f>N473+N474+N475+N476</f>
        <v>183913</v>
      </c>
      <c r="O472" s="93">
        <f t="shared" ca="1" si="207"/>
        <v>96.855958669285826</v>
      </c>
      <c r="P472" s="93">
        <f t="shared" ca="1" si="208"/>
        <v>96.855958669285826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41143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128000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14770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IFERROR(__xludf.DUMMYFUNCTION("IMPORTRANGE(""https://docs.google.com/spreadsheets/d/1QqKyyYR6Q21VydFLVH3TRQUabQu_ym0Zz7PgGX0-kHA/edit?usp=sharing"",""แผน!FY86"")"),180)</f>
        <v>180</v>
      </c>
      <c r="J483" s="215">
        <v>180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21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IFERROR(__xludf.DUMMYFUNCTION("IMPORTRANGE(""https://docs.google.com/spreadsheets/d/1QqKyyYR6Q21VydFLVH3TRQUabQu_ym0Zz7PgGX0-kHA/edit?usp=sharing"",""แผน!FZ86"")"),18)</f>
        <v>18</v>
      </c>
      <c r="J485" s="215">
        <v>18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IFERROR(__xludf.DUMMYFUNCTION("IMPORTRANGE(""https://docs.google.com/spreadsheets/d/1QqKyyYR6Q21VydFLVH3TRQUabQu_ym0Zz7PgGX0-kHA/edit?usp=sharing"",""แผน!GA86"")"),20)</f>
        <v>20</v>
      </c>
      <c r="J487" s="215">
        <v>20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2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IFERROR(__xludf.DUMMYFUNCTION("IMPORTRANGE(""https://docs.google.com/spreadsheets/d/1QqKyyYR6Q21VydFLVH3TRQUabQu_ym0Zz7PgGX0-kHA/edit?usp=sharing"",""แผน!GB86"")"),2)</f>
        <v>2</v>
      </c>
      <c r="J489" s="215">
        <v>2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IFERROR(__xludf.DUMMYFUNCTION("IMPORTRANGE(""https://docs.google.com/spreadsheets/d/1QqKyyYR6Q21VydFLVH3TRQUabQu_ym0Zz7PgGX0-kHA/edit?usp=sharing"",""แผน!GC86"")"),1)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IFERROR(__xludf.DUMMYFUNCTION("IMPORTRANGE(""https://docs.google.com/spreadsheets/d/1QqKyyYR6Q21VydFLVH3TRQUabQu_ym0Zz7PgGX0-kHA/edit?usp=sharing"",""แผน!FY86"")"),180)</f>
        <v>180</v>
      </c>
      <c r="J495" s="215">
        <v>180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180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IFERROR(__xludf.DUMMYFUNCTION("IMPORTRANGE(""https://docs.google.com/spreadsheets/d/1QqKyyYR6Q21VydFLVH3TRQUabQu_ym0Zz7PgGX0-kHA/edit?usp=sharing"",""แผน!GA86"")"),20)</f>
        <v>20</v>
      </c>
      <c r="J498" s="215">
        <v>20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20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30</v>
      </c>
      <c r="J522" s="707">
        <f t="shared" ca="1" si="225"/>
        <v>30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288960</v>
      </c>
      <c r="M523" s="195">
        <f t="shared" ca="1" si="226"/>
        <v>288960</v>
      </c>
      <c r="N523" s="195">
        <f t="shared" si="226"/>
        <v>122320</v>
      </c>
      <c r="O523" s="195">
        <f t="shared" ref="O523:O528" ca="1" si="227">IF(L523&gt;0,N523*100/L523,0)</f>
        <v>42.331118493909194</v>
      </c>
      <c r="P523" s="195">
        <f t="shared" ref="P523:P528" ca="1" si="228">IF(M523&gt;0,N523*100/M523,0)</f>
        <v>42.331118493909194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288960</v>
      </c>
      <c r="M525" s="93">
        <f t="shared" ca="1" si="229"/>
        <v>288960</v>
      </c>
      <c r="N525" s="93">
        <f t="shared" si="229"/>
        <v>122320</v>
      </c>
      <c r="O525" s="93">
        <f t="shared" ca="1" si="227"/>
        <v>42.331118493909194</v>
      </c>
      <c r="P525" s="93">
        <f t="shared" ca="1" si="228"/>
        <v>42.331118493909194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288960</v>
      </c>
      <c r="M526" s="498">
        <f t="shared" ca="1" si="230"/>
        <v>288960</v>
      </c>
      <c r="N526" s="498">
        <f t="shared" si="230"/>
        <v>122320</v>
      </c>
      <c r="O526" s="498">
        <f t="shared" ca="1" si="227"/>
        <v>42.331118493909194</v>
      </c>
      <c r="P526" s="498">
        <f t="shared" ca="1" si="228"/>
        <v>42.331118493909194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IFERROR(__xludf.DUMMYFUNCTION("IMPORTRANGE(""https://docs.google.com/spreadsheets/d/1QqKyyYR6Q21VydFLVH3TRQUabQu_ym0Zz7PgGX0-kHA/edit?usp=sharing"",""แผน!GQ86"")"),288960)</f>
        <v>288960</v>
      </c>
      <c r="M528" s="93">
        <f ca="1">L528</f>
        <v>288960</v>
      </c>
      <c r="N528" s="93">
        <f>N529+N530+N531+N532</f>
        <v>122320</v>
      </c>
      <c r="O528" s="93">
        <f t="shared" ca="1" si="227"/>
        <v>42.331118493909194</v>
      </c>
      <c r="P528" s="93">
        <f t="shared" ca="1" si="228"/>
        <v>42.331118493909194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106200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16120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IFERROR(__xludf.DUMMYFUNCTION("IMPORTRANGE(""https://docs.google.com/spreadsheets/d/1QqKyyYR6Q21VydFLVH3TRQUabQu_ym0Zz7PgGX0-kHA/edit?usp=sharing"",""แผน!GU86"")"),30)</f>
        <v>30</v>
      </c>
      <c r="J537" s="680">
        <f ca="1">IF(AND(J538=I538,J539=I539,J540=I540,J541=I541),I537,0)</f>
        <v>30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IFERROR(__xludf.DUMMYFUNCTION("IMPORTRANGE(""https://docs.google.com/spreadsheets/d/1QqKyyYR6Q21VydFLVH3TRQUabQu_ym0Zz7PgGX0-kHA/edit?usp=sharing"",""แผน!GV86"")"),30)</f>
        <v>30</v>
      </c>
      <c r="J538" s="215">
        <v>30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IFERROR(__xludf.DUMMYFUNCTION("IMPORTRANGE(""https://docs.google.com/spreadsheets/d/1QqKyyYR6Q21VydFLVH3TRQUabQu_ym0Zz7PgGX0-kHA/edit?usp=sharing"",""แผน!GW86"")"),30)</f>
        <v>30</v>
      </c>
      <c r="J539" s="215">
        <v>30</v>
      </c>
      <c r="K539" s="498">
        <f t="shared" ca="1" si="234"/>
        <v>100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IFERROR(__xludf.DUMMYFUNCTION("IMPORTRANGE(""https://docs.google.com/spreadsheets/d/1QqKyyYR6Q21VydFLVH3TRQUabQu_ym0Zz7PgGX0-kHA/edit?usp=sharing"",""แผน!GX86"")"),30)</f>
        <v>30</v>
      </c>
      <c r="J540" s="215">
        <v>30</v>
      </c>
      <c r="K540" s="498">
        <f t="shared" ca="1" si="234"/>
        <v>100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IFERROR(__xludf.DUMMYFUNCTION("IMPORTRANGE(""https://docs.google.com/spreadsheets/d/1QqKyyYR6Q21VydFLVH3TRQUabQu_ym0Zz7PgGX0-kHA/edit?usp=sharing"",""แผน!GY86"")"),0)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IFERROR(__xludf.DUMMYFUNCTION("IMPORTRANGE(""https://docs.google.com/spreadsheets/d/1QqKyyYR6Q21VydFLVH3TRQUabQu_ym0Zz7PgGX0-kHA/edit?usp=sharing"",""แผน!GZ86"")"),30)</f>
        <v>30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32464</v>
      </c>
      <c r="J543" s="686">
        <f t="shared" si="235"/>
        <v>31554</v>
      </c>
      <c r="K543" s="687">
        <f t="shared" ca="1" si="234"/>
        <v>97.19689502217841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388395</v>
      </c>
      <c r="M544" s="155">
        <f t="shared" ca="1" si="236"/>
        <v>388395</v>
      </c>
      <c r="N544" s="155">
        <f t="shared" si="236"/>
        <v>880603.7</v>
      </c>
      <c r="O544" s="155">
        <f t="shared" ref="O544:O549" ca="1" si="237">IF(L544&gt;0,N544*100/L544,0)</f>
        <v>226.72889712792389</v>
      </c>
      <c r="P544" s="155">
        <f t="shared" ref="P544:P549" ca="1" si="238">IF(M544&gt;0,N544*100/M544,0)</f>
        <v>226.72889712792389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388395</v>
      </c>
      <c r="M546" s="93">
        <f t="shared" ca="1" si="240"/>
        <v>388395</v>
      </c>
      <c r="N546" s="93">
        <f t="shared" si="240"/>
        <v>880603.7</v>
      </c>
      <c r="O546" s="93">
        <f t="shared" ca="1" si="237"/>
        <v>226.72889712792389</v>
      </c>
      <c r="P546" s="93">
        <f t="shared" ca="1" si="238"/>
        <v>226.72889712792389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388395</v>
      </c>
      <c r="M547" s="498">
        <f t="shared" ca="1" si="241"/>
        <v>388395</v>
      </c>
      <c r="N547" s="498">
        <f t="shared" si="241"/>
        <v>880603.7</v>
      </c>
      <c r="O547" s="498">
        <f t="shared" ca="1" si="237"/>
        <v>226.72889712792389</v>
      </c>
      <c r="P547" s="498">
        <f t="shared" ca="1" si="238"/>
        <v>226.72889712792389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IFERROR(__xludf.DUMMYFUNCTION("IMPORTRANGE(""https://docs.google.com/spreadsheets/d/1QqKyyYR6Q21VydFLVH3TRQUabQu_ym0Zz7PgGX0-kHA/edit?usp=sharing"",""แผน!HB86"")"),388395)</f>
        <v>388395</v>
      </c>
      <c r="M549" s="93">
        <f ca="1">L549</f>
        <v>388395</v>
      </c>
      <c r="N549" s="93">
        <f>N550+N551+N552+N553+N554</f>
        <v>880603.7</v>
      </c>
      <c r="O549" s="93">
        <f t="shared" ca="1" si="237"/>
        <v>226.72889712792389</v>
      </c>
      <c r="P549" s="93">
        <f t="shared" ca="1" si="238"/>
        <v>226.72889712792389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104000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207155.7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569448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32464</v>
      </c>
      <c r="J559" s="707">
        <f t="shared" si="245"/>
        <v>31554</v>
      </c>
      <c r="K559" s="676">
        <f t="shared" ref="K559:K561" ca="1" si="246">IF(I559&gt;0,J559*100/I559,0)</f>
        <v>97.19689502217841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IFERROR(__xludf.DUMMYFUNCTION("IMPORTRANGE(""https://docs.google.com/spreadsheets/d/1QqKyyYR6Q21VydFLVH3TRQUabQu_ym0Zz7PgGX0-kHA/edit?usp=sharing"",""แผน!HH86"")"),32464)</f>
        <v>32464</v>
      </c>
      <c r="J560" s="193">
        <f t="shared" ref="J560:J561" si="247">J562+J564+J566</f>
        <v>32464.06</v>
      </c>
      <c r="K560" s="412">
        <f t="shared" ca="1" si="246"/>
        <v>100.00018482010843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IFERROR(__xludf.DUMMYFUNCTION("IMPORTRANGE(""https://docs.google.com/spreadsheets/d/1QqKyyYR6Q21VydFLVH3TRQUabQu_ym0Zz7PgGX0-kHA/edit?usp=sharing"",""แผน!HG86"")"),4075)</f>
        <v>4075</v>
      </c>
      <c r="J561" s="193">
        <f t="shared" si="247"/>
        <v>4075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29538.06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3715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2117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255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809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105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IFERROR(__xludf.DUMMYFUNCTION("IMPORTRANGE(""https://docs.google.com/spreadsheets/d/1QqKyyYR6Q21VydFLVH3TRQUabQu_ym0Zz7PgGX0-kHA/edit?usp=sharing"",""แผน!HH86"")"),32464)</f>
        <v>32464</v>
      </c>
      <c r="J568" s="680">
        <f t="shared" ref="J568:J569" si="248">J570+J572+J574</f>
        <v>32464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IFERROR(__xludf.DUMMYFUNCTION("IMPORTRANGE(""https://docs.google.com/spreadsheets/d/1QqKyyYR6Q21VydFLVH3TRQUabQu_ym0Zz7PgGX0-kHA/edit?usp=sharing"",""แผน!HG86"")"),4075)</f>
        <v>4075</v>
      </c>
      <c r="J569" s="680">
        <f t="shared" si="248"/>
        <v>4075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29664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3730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1977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240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823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105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IFERROR(__xludf.DUMMYFUNCTION("IMPORTRANGE(""https://docs.google.com/spreadsheets/d/1QqKyyYR6Q21VydFLVH3TRQUabQu_ym0Zz7PgGX0-kHA/edit?usp=sharing"",""แผน!HH86"")"),32464)</f>
        <v>32464</v>
      </c>
      <c r="J576" s="680">
        <f t="shared" ref="J576:J577" si="250">J578+J580+J582+J588+J590</f>
        <v>31554</v>
      </c>
      <c r="K576" s="412">
        <f t="shared" ref="K576:K577" ca="1" si="251">IF(I576&gt;0,J576*100/I576,0)</f>
        <v>97.19689502217841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IFERROR(__xludf.DUMMYFUNCTION("IMPORTRANGE(""https://docs.google.com/spreadsheets/d/1QqKyyYR6Q21VydFLVH3TRQUabQu_ym0Zz7PgGX0-kHA/edit?usp=sharing"",""แผน!HG86"")"),4075)</f>
        <v>4075</v>
      </c>
      <c r="J577" s="680">
        <f t="shared" si="250"/>
        <v>3962</v>
      </c>
      <c r="K577" s="412">
        <f t="shared" ca="1" si="251"/>
        <v>97.226993865030678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30675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3856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15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2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864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104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864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104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414.26</v>
      </c>
      <c r="J592" s="707">
        <f t="shared" si="253"/>
        <v>414.26</v>
      </c>
      <c r="K592" s="676">
        <f t="shared" ref="K592:K594" ca="1" si="254">IF(I592&gt;0,J592*100/I592,0)</f>
        <v>100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IFERROR(__xludf.DUMMYFUNCTION("IMPORTRANGE(""https://docs.google.com/spreadsheets/d/1QqKyyYR6Q21VydFLVH3TRQUabQu_ym0Zz7PgGX0-kHA/edit?usp=sharing"",""แผน!HJ86"")"),414.26)</f>
        <v>414.26</v>
      </c>
      <c r="J593" s="193">
        <f t="shared" ref="J593:J594" si="255">J595+J603+J609</f>
        <v>414.26</v>
      </c>
      <c r="K593" s="412">
        <f t="shared" ca="1" si="254"/>
        <v>100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IFERROR(__xludf.DUMMYFUNCTION("IMPORTRANGE(""https://docs.google.com/spreadsheets/d/1QqKyyYR6Q21VydFLVH3TRQUabQu_ym0Zz7PgGX0-kHA/edit?usp=sharing"",""แผน!HI86"")"),47)</f>
        <v>47</v>
      </c>
      <c r="J594" s="193">
        <f t="shared" si="255"/>
        <v>47</v>
      </c>
      <c r="K594" s="412">
        <f t="shared" ca="1" si="254"/>
        <v>100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413.26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46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413.26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46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1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1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1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IFERROR(__xludf.DUMMYFUNCTION("IMPORTRANGE(""https://docs.google.com/spreadsheets/d/1QqKyyYR6Q21VydFLVH3TRQUabQu_ym0Zz7PgGX0-kHA/edit?usp=sharing"",""แผน!HL86"")"),140)</f>
        <v>140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IFERROR(__xludf.DUMMYFUNCTION("IMPORTRANGE(""https://docs.google.com/spreadsheets/d/1QqKyyYR6Q21VydFLVH3TRQUabQu_ym0Zz7PgGX0-kHA/edit?usp=sharing"",""แผน!HK86"")"),17)</f>
        <v>17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100</v>
      </c>
      <c r="J628" s="740">
        <f t="shared" ca="1" si="262"/>
        <v>58</v>
      </c>
      <c r="K628" s="741">
        <f ca="1">IF(I628&gt;0,J628*100/I628,0)</f>
        <v>58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368255</v>
      </c>
      <c r="M629" s="195">
        <f t="shared" ca="1" si="263"/>
        <v>368255</v>
      </c>
      <c r="N629" s="195">
        <f t="shared" si="263"/>
        <v>215646</v>
      </c>
      <c r="O629" s="195">
        <f t="shared" ref="O629:O634" ca="1" si="264">IF(L629&gt;0,N629*100/L629,0)</f>
        <v>58.558879037623385</v>
      </c>
      <c r="P629" s="195">
        <f t="shared" ref="P629:P634" ca="1" si="265">IF(M629&gt;0,N629*100/M629,0)</f>
        <v>58.558879037623385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368255</v>
      </c>
      <c r="M631" s="93">
        <f t="shared" ca="1" si="266"/>
        <v>368255</v>
      </c>
      <c r="N631" s="93">
        <f t="shared" si="266"/>
        <v>215646</v>
      </c>
      <c r="O631" s="93">
        <f t="shared" ca="1" si="264"/>
        <v>58.558879037623385</v>
      </c>
      <c r="P631" s="93">
        <f t="shared" ca="1" si="265"/>
        <v>58.558879037623385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368255</v>
      </c>
      <c r="M632" s="498">
        <f t="shared" ca="1" si="267"/>
        <v>368255</v>
      </c>
      <c r="N632" s="498">
        <f t="shared" si="267"/>
        <v>215646</v>
      </c>
      <c r="O632" s="498">
        <f t="shared" ca="1" si="264"/>
        <v>58.558879037623385</v>
      </c>
      <c r="P632" s="498">
        <f t="shared" ca="1" si="265"/>
        <v>58.558879037623385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IFERROR(__xludf.DUMMYFUNCTION("IMPORTRANGE(""https://docs.google.com/spreadsheets/d/1QqKyyYR6Q21VydFLVH3TRQUabQu_ym0Zz7PgGX0-kHA/edit?usp=sharing"",""แผน!HN86"")"),368255)</f>
        <v>368255</v>
      </c>
      <c r="M634" s="93">
        <f ca="1">L634</f>
        <v>368255</v>
      </c>
      <c r="N634" s="93">
        <f>N635+N636+N637+N638</f>
        <v>215646</v>
      </c>
      <c r="O634" s="93">
        <f t="shared" ca="1" si="264"/>
        <v>58.558879037623385</v>
      </c>
      <c r="P634" s="93">
        <f t="shared" ca="1" si="265"/>
        <v>58.558879037623385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103566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112080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IFERROR(__xludf.DUMMYFUNCTION("IMPORTRANGE(""https://docs.google.com/spreadsheets/d/1QqKyyYR6Q21VydFLVH3TRQUabQu_ym0Zz7PgGX0-kHA/edit?usp=sharing"",""แผน!HR86"")"),0)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IFERROR(__xludf.DUMMYFUNCTION("IMPORTRANGE(""https://docs.google.com/spreadsheets/d/1XWAQStnk-4SwqDmLtmXYiTMKHgktTP8We1SCoS47DrQ/edit?usp=sharing"",""จัดที่ดิน!AS86"")"),0)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IFERROR(__xludf.DUMMYFUNCTION("IMPORTRANGE(""https://docs.google.com/spreadsheets/d/1XWAQStnk-4SwqDmLtmXYiTMKHgktTP8We1SCoS47DrQ/edit?usp=sharing"",""จัดที่ดิน!AT86"")"),0)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IFERROR(__xludf.DUMMYFUNCTION("IMPORTRANGE(""https://docs.google.com/spreadsheets/d/1QqKyyYR6Q21VydFLVH3TRQUabQu_ym0Zz7PgGX0-kHA/edit?usp=sharing"",""แผน!HS86"")"),100)</f>
        <v>100</v>
      </c>
      <c r="J647" s="270">
        <f ca="1">IFERROR(__xludf.DUMMYFUNCTION("IMPORTRANGE(""https://docs.google.com/spreadsheets/d/1XWAQStnk-4SwqDmLtmXYiTMKHgktTP8We1SCoS47DrQ/edit?usp=sharing"",""จัดที่ดิน!AU86"")"),104)</f>
        <v>104</v>
      </c>
      <c r="K647" s="163">
        <f t="shared" ca="1" si="271"/>
        <v>104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IFERROR(__xludf.DUMMYFUNCTION("IMPORTRANGE(""https://docs.google.com/spreadsheets/d/1XWAQStnk-4SwqDmLtmXYiTMKHgktTP8We1SCoS47DrQ/edit?usp=sharing"",""จัดที่ดิน!AV86"")"),28.26)</f>
        <v>28.26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IFERROR(__xludf.DUMMYFUNCTION("IMPORTRANGE(""https://docs.google.com/spreadsheets/d/1QqKyyYR6Q21VydFLVH3TRQUabQu_ym0Zz7PgGX0-kHA/edit?usp=sharing"",""แผน!HS86"")"),100)</f>
        <v>100</v>
      </c>
      <c r="J649" s="270">
        <f ca="1">IFERROR(__xludf.DUMMYFUNCTION("IMPORTRANGE(""https://docs.google.com/spreadsheets/d/1XWAQStnk-4SwqDmLtmXYiTMKHgktTP8We1SCoS47DrQ/edit?usp=sharing"",""จัดที่ดิน!AW86"")"),59)</f>
        <v>59</v>
      </c>
      <c r="K649" s="163">
        <f t="shared" ca="1" si="271"/>
        <v>59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IFERROR(__xludf.DUMMYFUNCTION("IMPORTRANGE(""https://docs.google.com/spreadsheets/d/1XWAQStnk-4SwqDmLtmXYiTMKHgktTP8We1SCoS47DrQ/edit?usp=sharing"",""จัดที่ดิน!AX86"")"),15.1)</f>
        <v>15.1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IFERROR(__xludf.DUMMYFUNCTION("IMPORTRANGE(""https://docs.google.com/spreadsheets/d/1QqKyyYR6Q21VydFLVH3TRQUabQu_ym0Zz7PgGX0-kHA/edit?usp=sharing"",""แผน!HS86"")"),100)</f>
        <v>100</v>
      </c>
      <c r="J651" s="270">
        <f ca="1">IFERROR(__xludf.DUMMYFUNCTION("IMPORTRANGE(""https://docs.google.com/spreadsheets/d/1XWAQStnk-4SwqDmLtmXYiTMKHgktTP8We1SCoS47DrQ/edit?usp=sharing"",""จัดที่ดิน!AY86"")"),58)</f>
        <v>58</v>
      </c>
      <c r="K651" s="163">
        <f t="shared" ca="1" si="271"/>
        <v>58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IFERROR(__xludf.DUMMYFUNCTION("IMPORTRANGE(""https://docs.google.com/spreadsheets/d/1XWAQStnk-4SwqDmLtmXYiTMKHgktTP8We1SCoS47DrQ/edit?usp=sharing"",""จัดที่ดิน!AZ86"")"),15)</f>
        <v>15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12600</v>
      </c>
      <c r="M655" s="195">
        <f t="shared" ca="1" si="273"/>
        <v>12600</v>
      </c>
      <c r="N655" s="195">
        <f t="shared" si="273"/>
        <v>8141</v>
      </c>
      <c r="O655" s="195">
        <f t="shared" ref="O655:O660" ca="1" si="274">IF(L655&gt;0,N655*100/L655,0)</f>
        <v>64.611111111111114</v>
      </c>
      <c r="P655" s="195">
        <f t="shared" ref="P655:P660" ca="1" si="275">IF(M655&gt;0,N655*100/M655,0)</f>
        <v>64.611111111111114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12600</v>
      </c>
      <c r="M657" s="93">
        <f t="shared" ca="1" si="276"/>
        <v>12600</v>
      </c>
      <c r="N657" s="93">
        <f t="shared" si="276"/>
        <v>8141</v>
      </c>
      <c r="O657" s="93">
        <f t="shared" ca="1" si="274"/>
        <v>64.611111111111114</v>
      </c>
      <c r="P657" s="93">
        <f t="shared" ca="1" si="275"/>
        <v>64.611111111111114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12600</v>
      </c>
      <c r="M658" s="498">
        <f t="shared" ca="1" si="277"/>
        <v>12600</v>
      </c>
      <c r="N658" s="498">
        <f t="shared" si="277"/>
        <v>8141</v>
      </c>
      <c r="O658" s="498">
        <f t="shared" ca="1" si="274"/>
        <v>64.611111111111114</v>
      </c>
      <c r="P658" s="498">
        <f t="shared" ca="1" si="275"/>
        <v>64.611111111111114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IFERROR(__xludf.DUMMYFUNCTION("IMPORTRANGE(""https://docs.google.com/spreadsheets/d/1QqKyyYR6Q21VydFLVH3TRQUabQu_ym0Zz7PgGX0-kHA/edit?usp=sharing"",""แผน!HV86"")"),12600)</f>
        <v>12600</v>
      </c>
      <c r="M660" s="93">
        <f ca="1">L660</f>
        <v>12600</v>
      </c>
      <c r="N660" s="93">
        <f>N661+N662+N663+N664</f>
        <v>8141</v>
      </c>
      <c r="O660" s="93">
        <f t="shared" ca="1" si="274"/>
        <v>64.611111111111114</v>
      </c>
      <c r="P660" s="93">
        <f t="shared" ca="1" si="275"/>
        <v>64.611111111111114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8141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IFERROR(__xludf.DUMMYFUNCTION("IMPORTRANGE(""https://docs.google.com/spreadsheets/d/1QqKyyYR6Q21VydFLVH3TRQUabQu_ym0Zz7PgGX0-kHA/edit?usp=sharing"",""แผน!IA86"")"),50)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IFERROR(__xludf.DUMMYFUNCTION("IMPORTRANGE(""https://docs.google.com/spreadsheets/d/1QqKyyYR6Q21VydFLVH3TRQUabQu_ym0Zz7PgGX0-kHA/edit?usp=sharing"",""แผน!HZ86"")"),6)</f>
        <v>6</v>
      </c>
      <c r="J670" s="215">
        <v>6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IFERROR(__xludf.DUMMYFUNCTION("IMPORTRANGE(""https://docs.google.com/spreadsheets/d/1QqKyyYR6Q21VydFLVH3TRQUabQu_ym0Zz7PgGX0-kHA/edit?usp=sharing"",""แผน!HZ86"")"),6)</f>
        <v>6</v>
      </c>
      <c r="J671" s="215">
        <v>6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IFERROR(__xludf.DUMMYFUNCTION("IMPORTRANGE(""https://docs.google.com/spreadsheets/d/1QqKyyYR6Q21VydFLVH3TRQUabQu_ym0Zz7PgGX0-kHA/edit?usp=sharing"",""แผน!IB86"")"),0)</f>
        <v>0</v>
      </c>
      <c r="J678" s="680">
        <f>J679</f>
        <v>168.76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168.76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901">
        <v>31.56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901">
        <v>137.19999999999999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IFERROR(__xludf.DUMMYFUNCTION("IMPORTRANGE(""https://docs.google.com/spreadsheets/d/1QqKyyYR6Q21VydFLVH3TRQUabQu_ym0Zz7PgGX0-kHA/edit?usp=sharing"",""แผน!IC86"")"),0)</f>
        <v>0</v>
      </c>
      <c r="J699" s="270">
        <f ca="1">IFERROR(__xludf.DUMMYFUNCTION("IMPORTRANGE(""https://docs.google.com/spreadsheets/d/1XWAQStnk-4SwqDmLtmXYiTMKHgktTP8We1SCoS47DrQ/edit?usp=sharing"",""จัดที่ดิน!BB86"")"),0)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IFERROR(__xludf.DUMMYFUNCTION("IMPORTRANGE(""https://docs.google.com/spreadsheets/d/1QqKyyYR6Q21VydFLVH3TRQUabQu_ym0Zz7PgGX0-kHA/edit?usp=sharing"",""แผน!ID86"")"),0)</f>
        <v>0</v>
      </c>
      <c r="J700" s="270">
        <f ca="1">IFERROR(__xludf.DUMMYFUNCTION("IMPORTRANGE(""https://docs.google.com/spreadsheets/d/1XWAQStnk-4SwqDmLtmXYiTMKHgktTP8We1SCoS47DrQ/edit?usp=sharing"",""จัดที่ดิน!BD86"")"),0)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IFERROR(__xludf.DUMMYFUNCTION("IMPORTRANGE(""https://docs.google.com/spreadsheets/d/1QqKyyYR6Q21VydFLVH3TRQUabQu_ym0Zz7PgGX0-kHA/edit?usp=sharing"",""แผน!IE86"")"),0)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IFERROR(__xludf.DUMMYFUNCTION("IMPORTRANGE(""https://docs.google.com/spreadsheets/d/1QqKyyYR6Q21VydFLVH3TRQUabQu_ym0Zz7PgGX0-kHA/edit?usp=sharing"",""แผน!IF86"")"),0)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IFERROR(__xludf.DUMMYFUNCTION("IMPORTRANGE(""https://docs.google.com/spreadsheets/d/1QqKyyYR6Q21VydFLVH3TRQUabQu_ym0Zz7PgGX0-kHA/edit?usp=sharing"",""แผน!IG86"")"),0)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IFERROR(__xludf.DUMMYFUNCTION("IMPORTRANGE(""https://docs.google.com/spreadsheets/d/1QqKyyYR6Q21VydFLVH3TRQUabQu_ym0Zz7PgGX0-kHA/edit?usp=sharing"",""แผน!IH86"")"),0)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IFERROR(__xludf.DUMMYFUNCTION("IMPORTRANGE(""https://docs.google.com/spreadsheets/d/1XWAQStnk-4SwqDmLtmXYiTMKHgktTP8We1SCoS47DrQ/edit?usp=sharing"",""จัดที่ดิน!BF86"")"),0)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IFERROR(__xludf.DUMMYFUNCTION("IMPORTRANGE(""https://docs.google.com/spreadsheets/d/1XWAQStnk-4SwqDmLtmXYiTMKHgktTP8We1SCoS47DrQ/edit?usp=sharing"",""จัดที่ดิน!BG86"")"),0)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IFERROR(__xludf.DUMMYFUNCTION("IMPORTRANGE(""https://docs.google.com/spreadsheets/d/1QqKyyYR6Q21VydFLVH3TRQUabQu_ym0Zz7PgGX0-kHA/edit?usp=sharing"",""แผน!II86"")"),0)</f>
        <v>0</v>
      </c>
      <c r="J720" s="270">
        <f ca="1">IFERROR(__xludf.DUMMYFUNCTION("IMPORTRANGE(""https://docs.google.com/spreadsheets/d/1XWAQStnk-4SwqDmLtmXYiTMKHgktTP8We1SCoS47DrQ/edit?usp=sharing"",""จัดที่ดิน!BH86"")"),0)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IFERROR(__xludf.DUMMYFUNCTION("IMPORTRANGE(""https://docs.google.com/spreadsheets/d/1QqKyyYR6Q21VydFLVH3TRQUabQu_ym0Zz7PgGX0-kHA/edit?usp=sharing"",""แผน!IJ86"")"),0)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IFERROR(__xludf.DUMMYFUNCTION("IMPORTRANGE(""https://docs.google.com/spreadsheets/d/1QqKyyYR6Q21VydFLVH3TRQUabQu_ym0Zz7PgGX0-kHA/edit?usp=sharing"",""แผน!IK86"")"),0)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IFERROR(__xludf.DUMMYFUNCTION("IMPORTRANGE(""https://docs.google.com/spreadsheets/d/1QqKyyYR6Q21VydFLVH3TRQUabQu_ym0Zz7PgGX0-kHA/edit?usp=sharing"",""แผน!IL86"")"),0)</f>
        <v>0</v>
      </c>
      <c r="J723" s="270">
        <f ca="1">IFERROR(__xludf.DUMMYFUNCTION("IMPORTRANGE(""https://docs.google.com/spreadsheets/d/1XWAQStnk-4SwqDmLtmXYiTMKHgktTP8We1SCoS47DrQ/edit?usp=sharing"",""จัดที่ดิน!BM86"")"),0)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IFERROR(__xludf.DUMMYFUNCTION("IMPORTRANGE(""https://docs.google.com/spreadsheets/d/1XWAQStnk-4SwqDmLtmXYiTMKHgktTP8We1SCoS47DrQ/edit?usp=sharing"",""จัดที่ดิน!BN86"")"),0)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IFERROR(__xludf.DUMMYFUNCTION("IMPORTRANGE(""https://docs.google.com/spreadsheets/d/1QqKyyYR6Q21VydFLVH3TRQUabQu_ym0Zz7PgGX0-kHA/edit?usp=sharing"",""แผน!IM86"")"),0)</f>
        <v>0</v>
      </c>
      <c r="J725" s="270">
        <f ca="1">IFERROR(__xludf.DUMMYFUNCTION("IMPORTRANGE(""https://docs.google.com/spreadsheets/d/1XWAQStnk-4SwqDmLtmXYiTMKHgktTP8We1SCoS47DrQ/edit?usp=sharing"",""จัดที่ดิน!BO86"")"),0)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IFERROR(__xludf.DUMMYFUNCTION("IMPORTRANGE(""https://docs.google.com/spreadsheets/d/1QqKyyYR6Q21VydFLVH3TRQUabQu_ym0Zz7PgGX0-kHA/edit?usp=sharing"",""แผน!IN86"")"),0)</f>
        <v>0</v>
      </c>
      <c r="J726" s="270">
        <f ca="1">IFERROR(__xludf.DUMMYFUNCTION("IMPORTRANGE(""https://docs.google.com/spreadsheets/d/1XWAQStnk-4SwqDmLtmXYiTMKHgktTP8We1SCoS47DrQ/edit?usp=sharing"",""จัดที่ดิน!BR86"")"),0)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IFERROR(__xludf.DUMMYFUNCTION("IMPORTRANGE(""https://docs.google.com/spreadsheets/d/1XWAQStnk-4SwqDmLtmXYiTMKHgktTP8We1SCoS47DrQ/edit?usp=sharing"",""จัดที่ดิน!BS86"")"),0)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IFERROR(__xludf.DUMMYFUNCTION("IMPORTRANGE(""https://docs.google.com/spreadsheets/d/1QqKyyYR6Q21VydFLVH3TRQUabQu_ym0Zz7PgGX0-kHA/edit?usp=sharing"",""แผน!IO86"")"),0)</f>
        <v>0</v>
      </c>
      <c r="J728" s="270">
        <f ca="1">IFERROR(__xludf.DUMMYFUNCTION("IMPORTRANGE(""https://docs.google.com/spreadsheets/d/1XWAQStnk-4SwqDmLtmXYiTMKHgktTP8We1SCoS47DrQ/edit?usp=sharing"",""จัดที่ดิน!BT86"")"),0)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IFERROR(__xludf.DUMMYFUNCTION("IMPORTRANGE(""https://docs.google.com/spreadsheets/d/1QqKyyYR6Q21VydFLVH3TRQUabQu_ym0Zz7PgGX0-kHA/edit?usp=sharing"",""แผน!IP86"")"),0)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IFERROR(__xludf.DUMMYFUNCTION("IMPORTRANGE(""https://docs.google.com/spreadsheets/d/1QqKyyYR6Q21VydFLVH3TRQUabQu_ym0Zz7PgGX0-kHA/edit?usp=sharing"",""แผน!JN86"")"),0)</f>
        <v>0</v>
      </c>
      <c r="J800" s="184">
        <f ca="1">IFERROR(__xludf.DUMMYFUNCTION("IMPORTRANGE(""https://docs.google.com/spreadsheets/d/1MaWodYyGHDf7siQLGxnXhG4mBNTNIuy296niS2xXulU/edit?usp=sharing"",""RTK!H86"")"),0)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IFERROR(__xludf.DUMMYFUNCTION("IMPORTRANGE(""https://docs.google.com/spreadsheets/d/1MaWodYyGHDf7siQLGxnXhG4mBNTNIuy296niS2xXulU/edit?usp=sharing"",""RTK!I86"")"),0)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345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IFERROR(__xludf.DUMMYFUNCTION("IMPORTRANGE(""https://docs.google.com/spreadsheets/d/19vJNZY_5yjcGF2XGBMNZRCAIB0Kwfpjp8YEOfu-bneM/edit?usp=sharing"",""งานกองทุน!D86"")"),3740270.43)</f>
        <v>3740270.43</v>
      </c>
      <c r="J821" s="270">
        <f ca="1">IFERROR(__xludf.DUMMYFUNCTION("IMPORTRANGE(""https://docs.google.com/spreadsheets/d/19vJNZY_5yjcGF2XGBMNZRCAIB0Kwfpjp8YEOfu-bneM/edit?usp=sharing"",""งานกองทุน!F86"")"),3036074.88)</f>
        <v>3036074.88</v>
      </c>
      <c r="K821" s="498">
        <f t="shared" ref="K821:K828" ca="1" si="335">IF(I821&gt;0,J821*100/I821,0)</f>
        <v>81.172603340341894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IFERROR(__xludf.DUMMYFUNCTION("IMPORTRANGE(""https://docs.google.com/spreadsheets/d/19vJNZY_5yjcGF2XGBMNZRCAIB0Kwfpjp8YEOfu-bneM/edit?usp=sharing"",""งานกองทุน!C86"")"),269)</f>
        <v>269</v>
      </c>
      <c r="J822" s="270">
        <f ca="1">IFERROR(__xludf.DUMMYFUNCTION("IMPORTRANGE(""https://docs.google.com/spreadsheets/d/19vJNZY_5yjcGF2XGBMNZRCAIB0Kwfpjp8YEOfu-bneM/edit?usp=sharing"",""งานกองทุน!E86"")"),255)</f>
        <v>255</v>
      </c>
      <c r="K822" s="498">
        <f t="shared" ca="1" si="335"/>
        <v>94.795539033457246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IFERROR(__xludf.DUMMYFUNCTION("IMPORTRANGE(""https://docs.google.com/spreadsheets/d/19vJNZY_5yjcGF2XGBMNZRCAIB0Kwfpjp8YEOfu-bneM/edit?usp=sharing"",""งานกองทุน!I86"")"),1687353.19)</f>
        <v>1687353.19</v>
      </c>
      <c r="J823" s="270">
        <f ca="1">IFERROR(__xludf.DUMMYFUNCTION("IMPORTRANGE(""https://docs.google.com/spreadsheets/d/19vJNZY_5yjcGF2XGBMNZRCAIB0Kwfpjp8YEOfu-bneM/edit?usp=sharing"",""งานกองทุน!K86"")"),301381.15)</f>
        <v>301381.15000000002</v>
      </c>
      <c r="K823" s="498">
        <f t="shared" ca="1" si="335"/>
        <v>17.861177599693875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IFERROR(__xludf.DUMMYFUNCTION("IMPORTRANGE(""https://docs.google.com/spreadsheets/d/19vJNZY_5yjcGF2XGBMNZRCAIB0Kwfpjp8YEOfu-bneM/edit?usp=sharing"",""งานกองทุน!H86"")"),68)</f>
        <v>68</v>
      </c>
      <c r="J824" s="270">
        <f ca="1">IFERROR(__xludf.DUMMYFUNCTION("IMPORTRANGE(""https://docs.google.com/spreadsheets/d/19vJNZY_5yjcGF2XGBMNZRCAIB0Kwfpjp8YEOfu-bneM/edit?usp=sharing"",""งานกองทุน!J86"")"),57)</f>
        <v>57</v>
      </c>
      <c r="K824" s="498">
        <f t="shared" ca="1" si="335"/>
        <v>83.82352941176471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IFERROR(__xludf.DUMMYFUNCTION("IMPORTRANGE(""https://docs.google.com/spreadsheets/d/19vJNZY_5yjcGF2XGBMNZRCAIB0Kwfpjp8YEOfu-bneM/edit?usp=sharing"",""งานกองทุน!N86"")"),0)</f>
        <v>0</v>
      </c>
      <c r="J825" s="270">
        <f ca="1">IFERROR(__xludf.DUMMYFUNCTION("IMPORTRANGE(""https://docs.google.com/spreadsheets/d/19vJNZY_5yjcGF2XGBMNZRCAIB0Kwfpjp8YEOfu-bneM/edit?usp=sharing"",""งานกองทุน!P86"")"),0)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IFERROR(__xludf.DUMMYFUNCTION("IMPORTRANGE(""https://docs.google.com/spreadsheets/d/19vJNZY_5yjcGF2XGBMNZRCAIB0Kwfpjp8YEOfu-bneM/edit?usp=sharing"",""งานกองทุน!M86"")"),0)</f>
        <v>0</v>
      </c>
      <c r="J826" s="270">
        <f ca="1">IFERROR(__xludf.DUMMYFUNCTION("IMPORTRANGE(""https://docs.google.com/spreadsheets/d/19vJNZY_5yjcGF2XGBMNZRCAIB0Kwfpjp8YEOfu-bneM/edit?usp=sharing"",""งานกองทุน!O86"")"),0)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IFERROR(__xludf.DUMMYFUNCTION("IMPORTRANGE(""https://docs.google.com/spreadsheets/d/19vJNZY_5yjcGF2XGBMNZRCAIB0Kwfpjp8YEOfu-bneM/edit?usp=sharing"",""งานกองทุน!S86"")"),1680000)</f>
        <v>1680000</v>
      </c>
      <c r="J827" s="270">
        <f ca="1">IFERROR(__xludf.DUMMYFUNCTION("IMPORTRANGE(""https://docs.google.com/spreadsheets/d/19vJNZY_5yjcGF2XGBMNZRCAIB0Kwfpjp8YEOfu-bneM/edit?usp=sharing"",""งานกองทุน!U86"")"),2240000)</f>
        <v>2240000</v>
      </c>
      <c r="K827" s="498">
        <f t="shared" ca="1" si="335"/>
        <v>133.33333333333334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IFERROR(__xludf.DUMMYFUNCTION("IMPORTRANGE(""https://docs.google.com/spreadsheets/d/19vJNZY_5yjcGF2XGBMNZRCAIB0Kwfpjp8YEOfu-bneM/edit?usp=sharing"",""งานกองทุน!R86"")"),67)</f>
        <v>67</v>
      </c>
      <c r="J828" s="505">
        <f ca="1">IFERROR(__xludf.DUMMYFUNCTION("IMPORTRANGE(""https://docs.google.com/spreadsheets/d/19vJNZY_5yjcGF2XGBMNZRCAIB0Kwfpjp8YEOfu-bneM/edit?usp=sharing"",""งานกองทุน!T86"")"),46)</f>
        <v>46</v>
      </c>
      <c r="K828" s="506">
        <f t="shared" ca="1" si="335"/>
        <v>68.656716417910445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E09D4-C067-475D-8945-897A7B54744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352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2316276</v>
      </c>
      <c r="M8" s="22">
        <f t="shared" ca="1" si="0"/>
        <v>2637866</v>
      </c>
      <c r="N8" s="22">
        <f t="shared" ca="1" si="0"/>
        <v>1909965.99</v>
      </c>
      <c r="O8" s="22">
        <f t="shared" ref="O8:O16" ca="1" si="1">IF(L8&gt;0,N8*100/L8,0)</f>
        <v>82.458480336540205</v>
      </c>
      <c r="P8" s="22">
        <f t="shared" ref="P8:P16" ca="1" si="2">IF(M8&gt;0,N8*100/M8,0)</f>
        <v>72.405724551588293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2316276</v>
      </c>
      <c r="M10" s="30">
        <f t="shared" ca="1" si="3"/>
        <v>2637866</v>
      </c>
      <c r="N10" s="30">
        <f t="shared" ca="1" si="3"/>
        <v>1909965.99</v>
      </c>
      <c r="O10" s="30">
        <f t="shared" ca="1" si="1"/>
        <v>82.458480336540205</v>
      </c>
      <c r="P10" s="30">
        <f t="shared" ca="1" si="2"/>
        <v>72.405724551588293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2240276</v>
      </c>
      <c r="M11" s="498">
        <f t="shared" ca="1" si="4"/>
        <v>2526366</v>
      </c>
      <c r="N11" s="498">
        <f t="shared" ca="1" si="4"/>
        <v>1833965.99</v>
      </c>
      <c r="O11" s="498">
        <f t="shared" ca="1" si="1"/>
        <v>81.863394956692829</v>
      </c>
      <c r="P11" s="498">
        <f t="shared" ca="1" si="2"/>
        <v>72.593044317410858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2240276</v>
      </c>
      <c r="M13" s="93">
        <f t="shared" ca="1" si="5"/>
        <v>2526366</v>
      </c>
      <c r="N13" s="93">
        <f t="shared" ca="1" si="5"/>
        <v>1833965.99</v>
      </c>
      <c r="O13" s="93">
        <f t="shared" ca="1" si="1"/>
        <v>81.863394956692829</v>
      </c>
      <c r="P13" s="93">
        <f t="shared" ca="1" si="2"/>
        <v>72.593044317410858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76000</v>
      </c>
      <c r="M14" s="498">
        <f t="shared" ca="1" si="6"/>
        <v>111500</v>
      </c>
      <c r="N14" s="498">
        <f t="shared" ca="1" si="6"/>
        <v>76000</v>
      </c>
      <c r="O14" s="498">
        <f t="shared" ca="1" si="1"/>
        <v>100</v>
      </c>
      <c r="P14" s="498">
        <f t="shared" ca="1" si="2"/>
        <v>68.16143497757848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111500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68.16143497757848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1869190</v>
      </c>
      <c r="M18" s="22">
        <f t="shared" ca="1" si="8"/>
        <v>2190780</v>
      </c>
      <c r="N18" s="22">
        <f t="shared" ca="1" si="8"/>
        <v>1554308.69</v>
      </c>
      <c r="O18" s="22">
        <f t="shared" ref="O18:O26" ca="1" si="9">IF(L18&gt;0,N18*100/L18,0)</f>
        <v>83.154130398728867</v>
      </c>
      <c r="P18" s="22">
        <f t="shared" ref="P18:P26" ca="1" si="10">IF(M18&gt;0,N18*100/M18,0)</f>
        <v>70.9477304886844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1869190</v>
      </c>
      <c r="M20" s="30">
        <f t="shared" ca="1" si="11"/>
        <v>2190780</v>
      </c>
      <c r="N20" s="30">
        <f t="shared" ca="1" si="11"/>
        <v>1554308.69</v>
      </c>
      <c r="O20" s="30">
        <f t="shared" ca="1" si="9"/>
        <v>83.154130398728867</v>
      </c>
      <c r="P20" s="30">
        <f t="shared" ca="1" si="10"/>
        <v>70.9477304886844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1793190</v>
      </c>
      <c r="M21" s="498">
        <f t="shared" ca="1" si="12"/>
        <v>2079280</v>
      </c>
      <c r="N21" s="498">
        <f t="shared" ca="1" si="12"/>
        <v>1478308.69</v>
      </c>
      <c r="O21" s="498">
        <f t="shared" ca="1" si="9"/>
        <v>82.440159157702197</v>
      </c>
      <c r="P21" s="498">
        <f t="shared" ca="1" si="10"/>
        <v>71.097143722827127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1793190</v>
      </c>
      <c r="M23" s="93">
        <f t="shared" ca="1" si="13"/>
        <v>2079280</v>
      </c>
      <c r="N23" s="93">
        <f t="shared" ca="1" si="13"/>
        <v>1478308.69</v>
      </c>
      <c r="O23" s="93">
        <f t="shared" ca="1" si="9"/>
        <v>82.440159157702197</v>
      </c>
      <c r="P23" s="93">
        <f t="shared" ca="1" si="10"/>
        <v>71.097143722827127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76000</v>
      </c>
      <c r="M24" s="498">
        <f t="shared" ca="1" si="14"/>
        <v>111500</v>
      </c>
      <c r="N24" s="498">
        <f t="shared" ca="1" si="14"/>
        <v>76000</v>
      </c>
      <c r="O24" s="498">
        <f t="shared" ca="1" si="9"/>
        <v>100</v>
      </c>
      <c r="P24" s="498">
        <f t="shared" ca="1" si="10"/>
        <v>68.16143497757848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111500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68.16143497757848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447086</v>
      </c>
      <c r="M28" s="22">
        <f t="shared" ca="1" si="16"/>
        <v>447086</v>
      </c>
      <c r="N28" s="22">
        <f t="shared" si="16"/>
        <v>355657.3</v>
      </c>
      <c r="O28" s="22">
        <f t="shared" ref="O28:O37" ca="1" si="17">IF(L28&gt;0,N28*100/L28,0)</f>
        <v>79.550086560527504</v>
      </c>
      <c r="P28" s="22">
        <f t="shared" ref="P28:P37" ca="1" si="18">IF(M28&gt;0,N28*100/M28,0)</f>
        <v>79.550086560527504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447086</v>
      </c>
      <c r="M30" s="30">
        <f t="shared" ca="1" si="19"/>
        <v>447086</v>
      </c>
      <c r="N30" s="30">
        <f t="shared" si="19"/>
        <v>355657.3</v>
      </c>
      <c r="O30" s="30">
        <f t="shared" ca="1" si="17"/>
        <v>79.550086560527504</v>
      </c>
      <c r="P30" s="30">
        <f t="shared" ca="1" si="18"/>
        <v>79.550086560527504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447086</v>
      </c>
      <c r="M31" s="498">
        <f t="shared" ca="1" si="20"/>
        <v>447086</v>
      </c>
      <c r="N31" s="498">
        <f t="shared" si="20"/>
        <v>355657.3</v>
      </c>
      <c r="O31" s="498">
        <f t="shared" ca="1" si="17"/>
        <v>79.550086560527504</v>
      </c>
      <c r="P31" s="498">
        <f t="shared" ca="1" si="18"/>
        <v>79.550086560527504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447086</v>
      </c>
      <c r="M33" s="93">
        <f t="shared" ca="1" si="21"/>
        <v>447086</v>
      </c>
      <c r="N33" s="93">
        <f t="shared" si="21"/>
        <v>355657.3</v>
      </c>
      <c r="O33" s="93">
        <f t="shared" ca="1" si="17"/>
        <v>79.550086560527504</v>
      </c>
      <c r="P33" s="93">
        <f t="shared" ca="1" si="18"/>
        <v>79.550086560527504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1869190</v>
      </c>
      <c r="M37" s="858">
        <f t="shared" ca="1" si="24"/>
        <v>2190780</v>
      </c>
      <c r="N37" s="858">
        <f t="shared" ca="1" si="24"/>
        <v>1554308.69</v>
      </c>
      <c r="O37" s="858">
        <f t="shared" ca="1" si="17"/>
        <v>83.154130398728867</v>
      </c>
      <c r="P37" s="858">
        <f t="shared" ca="1" si="18"/>
        <v>70.9477304886844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334650</v>
      </c>
      <c r="M41" s="85">
        <f t="shared" ca="1" si="25"/>
        <v>424670</v>
      </c>
      <c r="N41" s="85">
        <f t="shared" ca="1" si="25"/>
        <v>313670</v>
      </c>
      <c r="O41" s="85">
        <f t="shared" ref="O41:O49" ca="1" si="26">IF(L41&gt;0,N41*100/L41,0)</f>
        <v>93.730763484237258</v>
      </c>
      <c r="P41" s="85">
        <f t="shared" ref="P41:P49" ca="1" si="27">IF(M41&gt;0,N41*100/M41,0)</f>
        <v>73.862057597664062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334650</v>
      </c>
      <c r="M43" s="92">
        <f t="shared" ca="1" si="28"/>
        <v>424670</v>
      </c>
      <c r="N43" s="92">
        <f t="shared" ca="1" si="28"/>
        <v>313670</v>
      </c>
      <c r="O43" s="92">
        <f t="shared" ca="1" si="26"/>
        <v>93.730763484237258</v>
      </c>
      <c r="P43" s="92">
        <f t="shared" ca="1" si="27"/>
        <v>73.862057597664062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334650</v>
      </c>
      <c r="M44" s="498">
        <f t="shared" ca="1" si="29"/>
        <v>424670</v>
      </c>
      <c r="N44" s="498">
        <f t="shared" ca="1" si="29"/>
        <v>313670</v>
      </c>
      <c r="O44" s="498">
        <f t="shared" ca="1" si="26"/>
        <v>93.730763484237258</v>
      </c>
      <c r="P44" s="498">
        <f t="shared" ca="1" si="27"/>
        <v>73.862057597664062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IFERROR(__xludf.DUMMYFUNCTION("IMPORTRANGE(""https://docs.google.com/spreadsheets/d/1MeEWN-I1oV_STSDYn1IFDPWt_1FKiwhDph83XaGc0o0/edit?usp=sharing"",""งบพรบ!M87"")"),334650)</f>
        <v>334650</v>
      </c>
      <c r="M46" s="93">
        <f ca="1">IFERROR(__xludf.DUMMYFUNCTION("IMPORTRANGE(""https://docs.google.com/spreadsheets/d/1MeEWN-I1oV_STSDYn1IFDPWt_1FKiwhDph83XaGc0o0/edit?usp=sharing"",""งบพรบ!R87"")"),424670)</f>
        <v>424670</v>
      </c>
      <c r="N46" s="93">
        <f ca="1">IFERROR(__xludf.DUMMYFUNCTION("IMPORTRANGE(""https://docs.google.com/spreadsheets/d/1MeEWN-I1oV_STSDYn1IFDPWt_1FKiwhDph83XaGc0o0/edit?usp=sharing"",""งบพรบ!T87"")"),313670)</f>
        <v>313670</v>
      </c>
      <c r="O46" s="93">
        <f t="shared" ca="1" si="26"/>
        <v>93.730763484237258</v>
      </c>
      <c r="P46" s="93">
        <f t="shared" ca="1" si="27"/>
        <v>73.862057597664062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IFERROR(__xludf.DUMMYFUNCTION("IMPORTRANGE(""https://docs.google.com/spreadsheets/d/1MeEWN-I1oV_STSDYn1IFDPWt_1FKiwhDph83XaGc0o0/edit?usp=sharing"",""งบพรบ!P87"")"),0)</f>
        <v>0</v>
      </c>
      <c r="M49" s="52">
        <f ca="1">IFERROR(__xludf.DUMMYFUNCTION("IMPORTRANGE(""https://docs.google.com/spreadsheets/d/1MeEWN-I1oV_STSDYn1IFDPWt_1FKiwhDph83XaGc0o0/edit?usp=sharing"",""งบพรบ!S87"")"),0)</f>
        <v>0</v>
      </c>
      <c r="N49" s="52">
        <f ca="1">IFERROR(__xludf.DUMMYFUNCTION("IMPORTRANGE(""https://docs.google.com/spreadsheets/d/1MeEWN-I1oV_STSDYn1IFDPWt_1FKiwhDph83XaGc0o0/edit?usp=sharing"",""งบพรบ!U87"")"),0)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310500</v>
      </c>
      <c r="M53" s="116">
        <f t="shared" ca="1" si="31"/>
        <v>366500</v>
      </c>
      <c r="N53" s="116">
        <f t="shared" ca="1" si="31"/>
        <v>260005.44</v>
      </c>
      <c r="O53" s="116">
        <f t="shared" ref="O53:O61" ca="1" si="32">IF(L53&gt;0,N53*100/L53,0)</f>
        <v>83.737661835748796</v>
      </c>
      <c r="P53" s="116">
        <f t="shared" ref="P53:P61" ca="1" si="33">IF(M53&gt;0,N53*100/M53,0)</f>
        <v>70.942821282401098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310500</v>
      </c>
      <c r="M55" s="123">
        <f t="shared" ca="1" si="34"/>
        <v>366500</v>
      </c>
      <c r="N55" s="123">
        <f t="shared" ca="1" si="34"/>
        <v>260005.44</v>
      </c>
      <c r="O55" s="123">
        <f t="shared" ca="1" si="32"/>
        <v>83.737661835748796</v>
      </c>
      <c r="P55" s="123">
        <f t="shared" ca="1" si="33"/>
        <v>70.942821282401098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310500</v>
      </c>
      <c r="M56" s="498">
        <f t="shared" ca="1" si="35"/>
        <v>331000</v>
      </c>
      <c r="N56" s="498">
        <f t="shared" ca="1" si="35"/>
        <v>260005.44</v>
      </c>
      <c r="O56" s="498">
        <f t="shared" ca="1" si="32"/>
        <v>83.737661835748796</v>
      </c>
      <c r="P56" s="498">
        <f t="shared" ca="1" si="33"/>
        <v>78.551492447129903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IFERROR(__xludf.DUMMYFUNCTION("IMPORTRANGE(""https://docs.google.com/spreadsheets/d/1MeEWN-I1oV_STSDYn1IFDPWt_1FKiwhDph83XaGc0o0/edit?usp=sharing"",""งบพรบ!W87"")"),310500)</f>
        <v>310500</v>
      </c>
      <c r="M58" s="93">
        <f ca="1">IFERROR(__xludf.DUMMYFUNCTION("IMPORTRANGE(""https://docs.google.com/spreadsheets/d/1MeEWN-I1oV_STSDYn1IFDPWt_1FKiwhDph83XaGc0o0/edit?usp=sharing"",""งบพรบ!AB87"")"),331000)</f>
        <v>331000</v>
      </c>
      <c r="N58" s="93">
        <f ca="1">IFERROR(__xludf.DUMMYFUNCTION("IMPORTRANGE(""https://docs.google.com/spreadsheets/d/1MeEWN-I1oV_STSDYn1IFDPWt_1FKiwhDph83XaGc0o0/edit?usp=sharing"",""งบพรบ!AD87"")"),260005.44)</f>
        <v>260005.44</v>
      </c>
      <c r="O58" s="93">
        <f t="shared" ca="1" si="32"/>
        <v>83.737661835748796</v>
      </c>
      <c r="P58" s="93">
        <f t="shared" ca="1" si="33"/>
        <v>78.551492447129903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35500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IFERROR(__xludf.DUMMYFUNCTION("IMPORTRANGE(""https://docs.google.com/spreadsheets/d/1MeEWN-I1oV_STSDYn1IFDPWt_1FKiwhDph83XaGc0o0/edit?usp=sharing"",""งบพรบ!Z87"")"),0)</f>
        <v>0</v>
      </c>
      <c r="M61" s="52">
        <f ca="1">IFERROR(__xludf.DUMMYFUNCTION("IMPORTRANGE(""https://docs.google.com/spreadsheets/d/1MeEWN-I1oV_STSDYn1IFDPWt_1FKiwhDph83XaGc0o0/edit?usp=sharing"",""งบพรบ!AC87"")"),35500)</f>
        <v>35500</v>
      </c>
      <c r="N61" s="52">
        <f ca="1">IFERROR(__xludf.DUMMYFUNCTION("IMPORTRANGE(""https://docs.google.com/spreadsheets/d/1MeEWN-I1oV_STSDYn1IFDPWt_1FKiwhDph83XaGc0o0/edit?usp=sharing"",""งบพรบ!AE87"")"),0)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IFERROR(__xludf.DUMMYFUNCTION("IMPORTRANGE(""https://docs.google.com/spreadsheets/d/1MeEWN-I1oV_STSDYn1IFDPWt_1FKiwhDph83XaGc0o0/edit?usp=sharing"",""งบพรบ!AG87"")"),0)</f>
        <v>0</v>
      </c>
      <c r="M71" s="93">
        <f ca="1">IFERROR(__xludf.DUMMYFUNCTION("IMPORTRANGE(""https://docs.google.com/spreadsheets/d/1MeEWN-I1oV_STSDYn1IFDPWt_1FKiwhDph83XaGc0o0/edit?usp=sharing"",""งบพรบ!AL87"")"),0)</f>
        <v>0</v>
      </c>
      <c r="N71" s="93">
        <f ca="1">IFERROR(__xludf.DUMMYFUNCTION("IMPORTRANGE(""https://docs.google.com/spreadsheets/d/1MeEWN-I1oV_STSDYn1IFDPWt_1FKiwhDph83XaGc0o0/edit?usp=sharing"",""งบพรบ!AN87"")"),0)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IFERROR(__xludf.DUMMYFUNCTION("IMPORTRANGE(""https://docs.google.com/spreadsheets/d/1MeEWN-I1oV_STSDYn1IFDPWt_1FKiwhDph83XaGc0o0/edit?usp=sharing"",""งบพรบ!AJ87"")"),0)</f>
        <v>0</v>
      </c>
      <c r="M74" s="93">
        <f ca="1">IFERROR(__xludf.DUMMYFUNCTION("IMPORTRANGE(""https://docs.google.com/spreadsheets/d/1MeEWN-I1oV_STSDYn1IFDPWt_1FKiwhDph83XaGc0o0/edit?usp=sharing"",""งบพรบ!AM87"")"),0)</f>
        <v>0</v>
      </c>
      <c r="N74" s="93">
        <f ca="1">IFERROR(__xludf.DUMMYFUNCTION("IMPORTRANGE(""https://docs.google.com/spreadsheets/d/1MeEWN-I1oV_STSDYn1IFDPWt_1FKiwhDph83XaGc0o0/edit?usp=sharing"",""งบพรบ!AO87"")"),0)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462300</v>
      </c>
      <c r="M88" s="155">
        <f t="shared" ca="1" si="49"/>
        <v>462300</v>
      </c>
      <c r="N88" s="155">
        <f t="shared" ca="1" si="49"/>
        <v>304734.56</v>
      </c>
      <c r="O88" s="155">
        <f t="shared" ref="O88:O96" ca="1" si="50">IF(L88&gt;0,N88*100/L88,0)</f>
        <v>65.917058187324244</v>
      </c>
      <c r="P88" s="155">
        <f t="shared" ref="P88:P96" ca="1" si="51">IF(M88&gt;0,N88*100/M88,0)</f>
        <v>65.917058187324244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462300</v>
      </c>
      <c r="M90" s="93">
        <f t="shared" ca="1" si="52"/>
        <v>462300</v>
      </c>
      <c r="N90" s="93">
        <f t="shared" ca="1" si="52"/>
        <v>304734.56</v>
      </c>
      <c r="O90" s="93">
        <f t="shared" ca="1" si="50"/>
        <v>65.917058187324244</v>
      </c>
      <c r="P90" s="93">
        <f t="shared" ca="1" si="51"/>
        <v>65.917058187324244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462300</v>
      </c>
      <c r="M91" s="498">
        <f t="shared" ca="1" si="53"/>
        <v>462300</v>
      </c>
      <c r="N91" s="498">
        <f t="shared" ca="1" si="53"/>
        <v>304734.56</v>
      </c>
      <c r="O91" s="498">
        <f t="shared" ca="1" si="50"/>
        <v>65.917058187324244</v>
      </c>
      <c r="P91" s="498">
        <f t="shared" ca="1" si="51"/>
        <v>65.917058187324244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IFERROR(__xludf.DUMMYFUNCTION("IMPORTRANGE(""https://docs.google.com/spreadsheets/d/1MeEWN-I1oV_STSDYn1IFDPWt_1FKiwhDph83XaGc0o0/edit?usp=sharing"",""งบพรบ!AQ87"")"),462300)</f>
        <v>462300</v>
      </c>
      <c r="M93" s="93">
        <f ca="1">IFERROR(__xludf.DUMMYFUNCTION("IMPORTRANGE(""https://docs.google.com/spreadsheets/d/1MeEWN-I1oV_STSDYn1IFDPWt_1FKiwhDph83XaGc0o0/edit?usp=sharing"",""งบพรบ!AV87"")"),462300)</f>
        <v>462300</v>
      </c>
      <c r="N93" s="93">
        <f ca="1">IFERROR(__xludf.DUMMYFUNCTION("IMPORTRANGE(""https://docs.google.com/spreadsheets/d/1MeEWN-I1oV_STSDYn1IFDPWt_1FKiwhDph83XaGc0o0/edit?usp=sharing"",""งบพรบ!AX87"")"),304734.56)</f>
        <v>304734.56</v>
      </c>
      <c r="O93" s="93">
        <f t="shared" ca="1" si="50"/>
        <v>65.917058187324244</v>
      </c>
      <c r="P93" s="93">
        <f t="shared" ca="1" si="51"/>
        <v>65.917058187324244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IFERROR(__xludf.DUMMYFUNCTION("IMPORTRANGE(""https://docs.google.com/spreadsheets/d/1MeEWN-I1oV_STSDYn1IFDPWt_1FKiwhDph83XaGc0o0/edit?usp=sharing"",""งบพรบ!AT87"")"),0)</f>
        <v>0</v>
      </c>
      <c r="M96" s="93">
        <f ca="1">IFERROR(__xludf.DUMMYFUNCTION("IMPORTRANGE(""https://docs.google.com/spreadsheets/d/1MeEWN-I1oV_STSDYn1IFDPWt_1FKiwhDph83XaGc0o0/edit?usp=sharing"",""งบพรบ!AW87"")"),0)</f>
        <v>0</v>
      </c>
      <c r="N96" s="93">
        <f ca="1">IFERROR(__xludf.DUMMYFUNCTION("IMPORTRANGE(""https://docs.google.com/spreadsheets/d/1MeEWN-I1oV_STSDYn1IFDPWt_1FKiwhDph83XaGc0o0/edit?usp=sharing"",""งบพรบ!AY87"")"),0)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IFERROR(__xludf.DUMMYFUNCTION("IMPORTRANGE(""https://docs.google.com/spreadsheets/d/1QqKyyYR6Q21VydFLVH3TRQUabQu_ym0Zz7PgGX0-kHA/edit?usp=sharing"",""แผน!K87"")"),0)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IFERROR(__xludf.DUMMYFUNCTION("IMPORTRANGE(""https://docs.google.com/spreadsheets/d/1QqKyyYR6Q21VydFLVH3TRQUabQu_ym0Zz7PgGX0-kHA/edit?usp=sharing"",""แผน!L87"")"),0)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IFERROR(__xludf.DUMMYFUNCTION("IMPORTRANGE(""https://docs.google.com/spreadsheets/d/1QqKyyYR6Q21VydFLVH3TRQUabQu_ym0Zz7PgGX0-kHA/edit?usp=sharing"",""แผน!M87"")"),1)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IFERROR(__xludf.DUMMYFUNCTION("IMPORTRANGE(""https://docs.google.com/spreadsheets/d/1QqKyyYR6Q21VydFLVH3TRQUabQu_ym0Zz7PgGX0-kHA/edit?usp=sharing"",""แผน!N87"")"),0)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IFERROR(__xludf.DUMMYFUNCTION("IMPORTRANGE(""https://docs.google.com/spreadsheets/d/1QqKyyYR6Q21VydFLVH3TRQUabQu_ym0Zz7PgGX0-kHA/edit?usp=sharing"",""แผน!O87"")"),0)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IFERROR(__xludf.DUMMYFUNCTION("IMPORTRANGE(""https://docs.google.com/spreadsheets/d/1QqKyyYR6Q21VydFLVH3TRQUabQu_ym0Zz7PgGX0-kHA/edit?usp=sharing"",""แผน!O87"")"),0)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IFERROR(__xludf.DUMMYFUNCTION("IMPORTRANGE(""https://docs.google.com/spreadsheets/d/1QqKyyYR6Q21VydFLVH3TRQUabQu_ym0Zz7PgGX0-kHA/edit?usp=sharing"",""แผน!P87"")"),1)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IFERROR(__xludf.DUMMYFUNCTION("IMPORTRANGE(""https://docs.google.com/spreadsheets/d/1QqKyyYR6Q21VydFLVH3TRQUabQu_ym0Zz7PgGX0-kHA/edit?usp=sharing"",""แผน!P87"")"),1)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IFERROR(__xludf.DUMMYFUNCTION("IMPORTRANGE(""https://docs.google.com/spreadsheets/d/1QqKyyYR6Q21VydFLVH3TRQUabQu_ym0Zz7PgGX0-kHA/edit?usp=sharing"",""แผน!Q87"")"),0)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IFERROR(__xludf.DUMMYFUNCTION("IMPORTRANGE(""https://docs.google.com/spreadsheets/d/1QqKyyYR6Q21VydFLVH3TRQUabQu_ym0Zz7PgGX0-kHA/edit?usp=sharing"",""แผน!Q87"")"),0)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IFERROR(__xludf.DUMMYFUNCTION("IMPORTRANGE(""https://docs.google.com/spreadsheets/d/1QqKyyYR6Q21VydFLVH3TRQUabQu_ym0Zz7PgGX0-kHA/edit?usp=sharing"",""แผน!R87"")"),0)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1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IFERROR(__xludf.DUMMYFUNCTION("IMPORTRANGE(""https://docs.google.com/spreadsheets/d/1QqKyyYR6Q21VydFLVH3TRQUabQu_ym0Zz7PgGX0-kHA/edit?usp=sharing"",""แผน!R87"")"),0)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IFERROR(__xludf.DUMMYFUNCTION("IMPORTRANGE(""https://docs.google.com/spreadsheets/d/1QqKyyYR6Q21VydFLVH3TRQUabQu_ym0Zz7PgGX0-kHA/edit?usp=sharing"",""แผน!R87"")"),0)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IFERROR(__xludf.DUMMYFUNCTION("IMPORTRANGE(""https://docs.google.com/spreadsheets/d/1QqKyyYR6Q21VydFLVH3TRQUabQu_ym0Zz7PgGX0-kHA/edit?usp=sharing"",""แผน!S87"")"),1)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IFERROR(__xludf.DUMMYFUNCTION("IMPORTRANGE(""https://docs.google.com/spreadsheets/d/1QqKyyYR6Q21VydFLVH3TRQUabQu_ym0Zz7PgGX0-kHA/edit?usp=sharing"",""แผน!T87"")"),0)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IFERROR(__xludf.DUMMYFUNCTION("IMPORTRANGE(""https://docs.google.com/spreadsheets/d/1MeEWN-I1oV_STSDYn1IFDPWt_1FKiwhDph83XaGc0o0/edit?usp=sharing"",""งบพรบ!BA87"")"),0)</f>
        <v>0</v>
      </c>
      <c r="M124" s="93">
        <f ca="1">IFERROR(__xludf.DUMMYFUNCTION("IMPORTRANGE(""https://docs.google.com/spreadsheets/d/1MeEWN-I1oV_STSDYn1IFDPWt_1FKiwhDph83XaGc0o0/edit?usp=sharing"",""งบพรบ!BF87"")"),0)</f>
        <v>0</v>
      </c>
      <c r="N124" s="93">
        <f ca="1">IFERROR(__xludf.DUMMYFUNCTION("IMPORTRANGE(""https://docs.google.com/spreadsheets/d/1MeEWN-I1oV_STSDYn1IFDPWt_1FKiwhDph83XaGc0o0/edit?usp=sharing"",""งบพรบ!BH87"")"),0)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IFERROR(__xludf.DUMMYFUNCTION("IMPORTRANGE(""https://docs.google.com/spreadsheets/d/1MeEWN-I1oV_STSDYn1IFDPWt_1FKiwhDph83XaGc0o0/edit?usp=sharing"",""งบพรบ!BD87"")"),0)</f>
        <v>0</v>
      </c>
      <c r="M127" s="93">
        <f ca="1">IFERROR(__xludf.DUMMYFUNCTION("IMPORTRANGE(""https://docs.google.com/spreadsheets/d/1MeEWN-I1oV_STSDYn1IFDPWt_1FKiwhDph83XaGc0o0/edit?usp=sharing"",""งบพรบ!BG87"")"),0)</f>
        <v>0</v>
      </c>
      <c r="N127" s="93">
        <f ca="1">IFERROR(__xludf.DUMMYFUNCTION("IMPORTRANGE(""https://docs.google.com/spreadsheets/d/1MeEWN-I1oV_STSDYn1IFDPWt_1FKiwhDph83XaGc0o0/edit?usp=sharing"",""งบพรบ!BI87"")"),0)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IFERROR(__xludf.DUMMYFUNCTION("IMPORTRANGE(""https://docs.google.com/spreadsheets/d/1MeEWN-I1oV_STSDYn1IFDPWt_1FKiwhDph83XaGc0o0/edit?usp=sharing"",""งบพรบ!BK87"")"),0)</f>
        <v>0</v>
      </c>
      <c r="M137" s="93">
        <f ca="1">IFERROR(__xludf.DUMMYFUNCTION("IMPORTRANGE(""https://docs.google.com/spreadsheets/d/1MeEWN-I1oV_STSDYn1IFDPWt_1FKiwhDph83XaGc0o0/edit?usp=sharing"",""งบพรบ!BP87"")"),0)</f>
        <v>0</v>
      </c>
      <c r="N137" s="93">
        <f ca="1">IFERROR(__xludf.DUMMYFUNCTION("IMPORTRANGE(""https://docs.google.com/spreadsheets/d/1MeEWN-I1oV_STSDYn1IFDPWt_1FKiwhDph83XaGc0o0/edit?usp=sharing"",""งบพรบ!BR87"")"),0)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IFERROR(__xludf.DUMMYFUNCTION("IMPORTRANGE(""https://docs.google.com/spreadsheets/d/1MeEWN-I1oV_STSDYn1IFDPWt_1FKiwhDph83XaGc0o0/edit?usp=sharing"",""งบพรบ!BN87"")"),0)</f>
        <v>0</v>
      </c>
      <c r="M140" s="93">
        <f ca="1">IFERROR(__xludf.DUMMYFUNCTION("IMPORTRANGE(""https://docs.google.com/spreadsheets/d/1MeEWN-I1oV_STSDYn1IFDPWt_1FKiwhDph83XaGc0o0/edit?usp=sharing"",""งบพรบ!BQ87"")"),0)</f>
        <v>0</v>
      </c>
      <c r="N140" s="93">
        <f ca="1">IFERROR(__xludf.DUMMYFUNCTION("IMPORTRANGE(""https://docs.google.com/spreadsheets/d/1MeEWN-I1oV_STSDYn1IFDPWt_1FKiwhDph83XaGc0o0/edit?usp=sharing"",""งบพรบ!BS87"")"),0)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IFERROR(__xludf.DUMMYFUNCTION("IMPORTRANGE(""https://docs.google.com/spreadsheets/d/1QqKyyYR6Q21VydFLVH3TRQUabQu_ym0Zz7PgGX0-kHA/edit?usp=sharing"",""แผน!U87"")"),0)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IFERROR(__xludf.DUMMYFUNCTION("IMPORTRANGE(""https://docs.google.com/spreadsheets/d/1QqKyyYR6Q21VydFLVH3TRQUabQu_ym0Zz7PgGX0-kHA/edit?usp=sharing"",""แผน!V87"")"),0)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IFERROR(__xludf.DUMMYFUNCTION("IMPORTRANGE(""https://docs.google.com/spreadsheets/d/1QqKyyYR6Q21VydFLVH3TRQUabQu_ym0Zz7PgGX0-kHA/edit?usp=sharing"",""แผน!W87"")"),0)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11460</v>
      </c>
      <c r="N149" s="155">
        <f t="shared" ca="1" si="77"/>
        <v>10022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87.452006980802793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11460</v>
      </c>
      <c r="N151" s="93">
        <f t="shared" ca="1" si="80"/>
        <v>10022</v>
      </c>
      <c r="O151" s="93">
        <f t="shared" ca="1" si="78"/>
        <v>0</v>
      </c>
      <c r="P151" s="93">
        <f t="shared" ca="1" si="79"/>
        <v>87.452006980802793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11460</v>
      </c>
      <c r="N152" s="498">
        <f t="shared" ca="1" si="81"/>
        <v>10022</v>
      </c>
      <c r="O152" s="498">
        <f t="shared" ca="1" si="78"/>
        <v>0</v>
      </c>
      <c r="P152" s="498">
        <f t="shared" ca="1" si="79"/>
        <v>87.452006980802793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IFERROR(__xludf.DUMMYFUNCTION("IMPORTRANGE(""https://docs.google.com/spreadsheets/d/1MeEWN-I1oV_STSDYn1IFDPWt_1FKiwhDph83XaGc0o0/edit?usp=sharing"",""งบพรบ!BU87"")"),0)</f>
        <v>0</v>
      </c>
      <c r="M154" s="93">
        <f ca="1">IFERROR(__xludf.DUMMYFUNCTION("IMPORTRANGE(""https://docs.google.com/spreadsheets/d/1MeEWN-I1oV_STSDYn1IFDPWt_1FKiwhDph83XaGc0o0/edit?usp=sharing"",""งบพรบ!BZ87"")"),11460)</f>
        <v>11460</v>
      </c>
      <c r="N154" s="93">
        <f ca="1">IFERROR(__xludf.DUMMYFUNCTION("IMPORTRANGE(""https://docs.google.com/spreadsheets/d/1MeEWN-I1oV_STSDYn1IFDPWt_1FKiwhDph83XaGc0o0/edit?usp=sharing"",""งบพรบ!CB87"")"),10022)</f>
        <v>10022</v>
      </c>
      <c r="O154" s="93">
        <f t="shared" ca="1" si="78"/>
        <v>0</v>
      </c>
      <c r="P154" s="93">
        <f t="shared" ca="1" si="79"/>
        <v>87.452006980802793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IFERROR(__xludf.DUMMYFUNCTION("IMPORTRANGE(""https://docs.google.com/spreadsheets/d/1MeEWN-I1oV_STSDYn1IFDPWt_1FKiwhDph83XaGc0o0/edit?usp=sharing"",""งบพรบ!BX87"")"),0)</f>
        <v>0</v>
      </c>
      <c r="M157" s="93">
        <f ca="1">IFERROR(__xludf.DUMMYFUNCTION("IMPORTRANGE(""https://docs.google.com/spreadsheets/d/1MeEWN-I1oV_STSDYn1IFDPWt_1FKiwhDph83XaGc0o0/edit?usp=sharing"",""งบพรบ!CA87"")"),0)</f>
        <v>0</v>
      </c>
      <c r="N157" s="93">
        <f ca="1">IFERROR(__xludf.DUMMYFUNCTION("IMPORTRANGE(""https://docs.google.com/spreadsheets/d/1MeEWN-I1oV_STSDYn1IFDPWt_1FKiwhDph83XaGc0o0/edit?usp=sharing"",""งบพรบ!CC87"")"),0)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IFERROR(__xludf.DUMMYFUNCTION("IMPORTRANGE(""https://docs.google.com/spreadsheets/d/1QqKyyYR6Q21VydFLVH3TRQUabQu_ym0Zz7PgGX0-kHA/edit?usp=sharing"",""แผน!X87"")"),0)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23060</v>
      </c>
      <c r="M165" s="155">
        <f t="shared" ca="1" si="84"/>
        <v>43770</v>
      </c>
      <c r="N165" s="155">
        <f t="shared" ca="1" si="84"/>
        <v>43770</v>
      </c>
      <c r="O165" s="155">
        <f t="shared" ref="O165:O173" ca="1" si="85">IF(L165&gt;0,N165*100/L165,0)</f>
        <v>189.80919340849957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23060</v>
      </c>
      <c r="M167" s="93">
        <f t="shared" ca="1" si="87"/>
        <v>43770</v>
      </c>
      <c r="N167" s="93">
        <f t="shared" ca="1" si="87"/>
        <v>43770</v>
      </c>
      <c r="O167" s="93">
        <f t="shared" ca="1" si="85"/>
        <v>189.80919340849957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23060</v>
      </c>
      <c r="M168" s="498">
        <f t="shared" ca="1" si="88"/>
        <v>43770</v>
      </c>
      <c r="N168" s="498">
        <f t="shared" ca="1" si="88"/>
        <v>43770</v>
      </c>
      <c r="O168" s="498">
        <f t="shared" ca="1" si="85"/>
        <v>189.80919340849957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IFERROR(__xludf.DUMMYFUNCTION("IMPORTRANGE(""https://docs.google.com/spreadsheets/d/1MeEWN-I1oV_STSDYn1IFDPWt_1FKiwhDph83XaGc0o0/edit?usp=sharing"",""งบพรบ!CE87"")"),23060)</f>
        <v>23060</v>
      </c>
      <c r="M170" s="93">
        <f ca="1">IFERROR(__xludf.DUMMYFUNCTION("IMPORTRANGE(""https://docs.google.com/spreadsheets/d/1MeEWN-I1oV_STSDYn1IFDPWt_1FKiwhDph83XaGc0o0/edit?usp=sharing"",""งบพรบ!CJ87"")"),43770)</f>
        <v>43770</v>
      </c>
      <c r="N170" s="93">
        <f ca="1">IFERROR(__xludf.DUMMYFUNCTION("IMPORTRANGE(""https://docs.google.com/spreadsheets/d/1MeEWN-I1oV_STSDYn1IFDPWt_1FKiwhDph83XaGc0o0/edit?usp=sharing"",""งบพรบ!CL87"")"),43770)</f>
        <v>43770</v>
      </c>
      <c r="O170" s="93">
        <f t="shared" ca="1" si="85"/>
        <v>189.80919340849957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IFERROR(__xludf.DUMMYFUNCTION("IMPORTRANGE(""https://docs.google.com/spreadsheets/d/1MeEWN-I1oV_STSDYn1IFDPWt_1FKiwhDph83XaGc0o0/edit?usp=sharing"",""งบพรบ!CH87"")"),0)</f>
        <v>0</v>
      </c>
      <c r="M173" s="93">
        <f ca="1">IFERROR(__xludf.DUMMYFUNCTION("IMPORTRANGE(""https://docs.google.com/spreadsheets/d/1MeEWN-I1oV_STSDYn1IFDPWt_1FKiwhDph83XaGc0o0/edit?usp=sharing"",""งบพรบ!CK87"")"),0)</f>
        <v>0</v>
      </c>
      <c r="N173" s="93">
        <f ca="1">IFERROR(__xludf.DUMMYFUNCTION("IMPORTRANGE(""https://docs.google.com/spreadsheets/d/1MeEWN-I1oV_STSDYn1IFDPWt_1FKiwhDph83XaGc0o0/edit?usp=sharing"",""งบพรบ!CM87"")"),0)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IFERROR(__xludf.DUMMYFUNCTION("IMPORTRANGE(""https://docs.google.com/spreadsheets/d/1QqKyyYR6Q21VydFLVH3TRQUabQu_ym0Zz7PgGX0-kHA/edit?usp=sharing"",""แผน!Y87"")"),12)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38200</v>
      </c>
      <c r="M181" s="155">
        <f t="shared" ca="1" si="92"/>
        <v>38200</v>
      </c>
      <c r="N181" s="155">
        <f t="shared" ca="1" si="92"/>
        <v>30805</v>
      </c>
      <c r="O181" s="155">
        <f t="shared" ref="O181:O189" ca="1" si="93">IF(L181&gt;0,N181*100/L181,0)</f>
        <v>80.641361256544499</v>
      </c>
      <c r="P181" s="155">
        <f t="shared" ref="P181:P189" ca="1" si="94">IF(M181&gt;0,N181*100/M181,0)</f>
        <v>80.641361256544499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38200</v>
      </c>
      <c r="M183" s="93">
        <f t="shared" ca="1" si="95"/>
        <v>38200</v>
      </c>
      <c r="N183" s="93">
        <f t="shared" ca="1" si="95"/>
        <v>30805</v>
      </c>
      <c r="O183" s="93">
        <f t="shared" ca="1" si="93"/>
        <v>80.641361256544499</v>
      </c>
      <c r="P183" s="93">
        <f t="shared" ca="1" si="94"/>
        <v>80.641361256544499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38200</v>
      </c>
      <c r="M184" s="498">
        <f t="shared" ca="1" si="96"/>
        <v>38200</v>
      </c>
      <c r="N184" s="498">
        <f t="shared" ca="1" si="96"/>
        <v>30805</v>
      </c>
      <c r="O184" s="498">
        <f t="shared" ca="1" si="93"/>
        <v>80.641361256544499</v>
      </c>
      <c r="P184" s="498">
        <f t="shared" ca="1" si="94"/>
        <v>80.641361256544499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IFERROR(__xludf.DUMMYFUNCTION("IMPORTRANGE(""https://docs.google.com/spreadsheets/d/1MeEWN-I1oV_STSDYn1IFDPWt_1FKiwhDph83XaGc0o0/edit?usp=sharing"",""งบพรบ!CO87"")"),38200)</f>
        <v>38200</v>
      </c>
      <c r="M186" s="93">
        <f ca="1">IFERROR(__xludf.DUMMYFUNCTION("IMPORTRANGE(""https://docs.google.com/spreadsheets/d/1MeEWN-I1oV_STSDYn1IFDPWt_1FKiwhDph83XaGc0o0/edit?usp=sharing"",""งบพรบ!CT87"")"),38200)</f>
        <v>38200</v>
      </c>
      <c r="N186" s="93">
        <f ca="1">IFERROR(__xludf.DUMMYFUNCTION("IMPORTRANGE(""https://docs.google.com/spreadsheets/d/1MeEWN-I1oV_STSDYn1IFDPWt_1FKiwhDph83XaGc0o0/edit?usp=sharing"",""งบพรบ!CV87"")"),30805)</f>
        <v>30805</v>
      </c>
      <c r="O186" s="93">
        <f t="shared" ca="1" si="93"/>
        <v>80.641361256544499</v>
      </c>
      <c r="P186" s="93">
        <f t="shared" ca="1" si="94"/>
        <v>80.641361256544499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IFERROR(__xludf.DUMMYFUNCTION("IMPORTRANGE(""https://docs.google.com/spreadsheets/d/1MeEWN-I1oV_STSDYn1IFDPWt_1FKiwhDph83XaGc0o0/edit?usp=sharing"",""งบพรบ!CR87"")"),0)</f>
        <v>0</v>
      </c>
      <c r="M189" s="93">
        <f ca="1">IFERROR(__xludf.DUMMYFUNCTION("IMPORTRANGE(""https://docs.google.com/spreadsheets/d/1MeEWN-I1oV_STSDYn1IFDPWt_1FKiwhDph83XaGc0o0/edit?usp=sharing"",""งบพรบ!CU87"")"),0)</f>
        <v>0</v>
      </c>
      <c r="N189" s="93">
        <f ca="1">IFERROR(__xludf.DUMMYFUNCTION("IMPORTRANGE(""https://docs.google.com/spreadsheets/d/1MeEWN-I1oV_STSDYn1IFDPWt_1FKiwhDph83XaGc0o0/edit?usp=sharing"",""งบพรบ!CW87"")"),0)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IFERROR(__xludf.DUMMYFUNCTION("IMPORTRANGE(""https://docs.google.com/spreadsheets/d/1QqKyyYR6Q21VydFLVH3TRQUabQu_ym0Zz7PgGX0-kHA/edit?usp=sharing"",""แผน!Z87"")"),6000)</f>
        <v>6000</v>
      </c>
      <c r="M191" s="155"/>
      <c r="N191" s="276">
        <v>1220</v>
      </c>
      <c r="O191" s="155">
        <f ca="1">IF(L191&gt;0,N191*100/L191,0)</f>
        <v>20.333333333333332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IFERROR(__xludf.DUMMYFUNCTION("IMPORTRANGE(""https://docs.google.com/spreadsheets/d/1QqKyyYR6Q21VydFLVH3TRQUabQu_ym0Zz7PgGX0-kHA/edit?usp=sharing"",""แผน!AC87"")"),4)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100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100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IFERROR(__xludf.DUMMYFUNCTION("IMPORTRANGE(""https://docs.google.com/spreadsheets/d/1QqKyyYR6Q21VydFLVH3TRQUabQu_ym0Zz7PgGX0-kHA/edit?usp=sharing"",""แผน!AE87"")"),2000)</f>
        <v>2000</v>
      </c>
      <c r="M199" s="498"/>
      <c r="N199" s="826">
        <v>2000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IFERROR(__xludf.DUMMYFUNCTION("IMPORTRANGE(""https://docs.google.com/spreadsheets/d/1QqKyyYR6Q21VydFLVH3TRQUabQu_ym0Zz7PgGX0-kHA/edit?usp=sharing"",""แผน!AF87"")"),16000)</f>
        <v>16000</v>
      </c>
      <c r="M200" s="498"/>
      <c r="N200" s="826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IFERROR(__xludf.DUMMYFUNCTION("IMPORTRANGE(""https://docs.google.com/spreadsheets/d/1QqKyyYR6Q21VydFLVH3TRQUabQu_ym0Zz7PgGX0-kHA/edit?usp=sharing"",""แผน!AG87"")"),8000)</f>
        <v>8000</v>
      </c>
      <c r="M201" s="498"/>
      <c r="N201" s="826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IFERROR(__xludf.DUMMYFUNCTION("IMPORTRANGE(""https://docs.google.com/spreadsheets/d/1QqKyyYR6Q21VydFLVH3TRQUabQu_ym0Zz7PgGX0-kHA/edit?usp=sharing"",""แผน!AH87"")"),0)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IFERROR(__xludf.DUMMYFUNCTION("IMPORTRANGE(""https://docs.google.com/spreadsheets/d/1QqKyyYR6Q21VydFLVH3TRQUabQu_ym0Zz7PgGX0-kHA/edit?usp=sharing"",""แผน!AI87"")"),2)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IFERROR(__xludf.DUMMYFUNCTION("IMPORTRANGE(""https://docs.google.com/spreadsheets/d/1QqKyyYR6Q21VydFLVH3TRQUabQu_ym0Zz7PgGX0-kHA/edit?usp=sharing"",""แผน!AK87"")"),0)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IFERROR(__xludf.DUMMYFUNCTION("IMPORTRANGE(""https://docs.google.com/spreadsheets/d/1QqKyyYR6Q21VydFLVH3TRQUabQu_ym0Zz7PgGX0-kHA/edit?usp=sharing"",""แผน!AL87"")"),0)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IFERROR(__xludf.DUMMYFUNCTION("IMPORTRANGE(""https://docs.google.com/spreadsheets/d/1QqKyyYR6Q21VydFLVH3TRQUabQu_ym0Zz7PgGX0-kHA/edit?usp=sharing"",""แผน!AM87"")"),0)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IFERROR(__xludf.DUMMYFUNCTION("IMPORTRANGE(""https://docs.google.com/spreadsheets/d/1QqKyyYR6Q21VydFLVH3TRQUabQu_ym0Zz7PgGX0-kHA/edit?usp=sharing"",""แผน!AN87"")"),0)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IFERROR(__xludf.DUMMYFUNCTION("IMPORTRANGE(""https://docs.google.com/spreadsheets/d/1QqKyyYR6Q21VydFLVH3TRQUabQu_ym0Zz7PgGX0-kHA/edit?usp=sharing"",""แผน!AN87"")"),0)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</v>
      </c>
      <c r="J216" s="272">
        <f t="shared" si="103"/>
        <v>6400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6200</v>
      </c>
      <c r="M217" s="155"/>
      <c r="N217" s="155">
        <f>N218+N219+N220</f>
        <v>3585</v>
      </c>
      <c r="O217" s="155">
        <f ca="1">IF(L217&gt;0,N217*100/L217,0)</f>
        <v>57.822580645161288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IFERROR(__xludf.DUMMYFUNCTION("IMPORTRANGE(""https://docs.google.com/spreadsheets/d/1QqKyyYR6Q21VydFLVH3TRQUabQu_ym0Zz7PgGX0-kHA/edit?usp=sharing"",""แผน!AP87"")"),3000)</f>
        <v>3000</v>
      </c>
      <c r="M218" s="498"/>
      <c r="N218" s="826">
        <v>3000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IFERROR(__xludf.DUMMYFUNCTION("IMPORTRANGE(""https://docs.google.com/spreadsheets/d/1QqKyyYR6Q21VydFLVH3TRQUabQu_ym0Zz7PgGX0-kHA/edit?usp=sharing"",""แผน!AQ87"")"),3200)</f>
        <v>3200</v>
      </c>
      <c r="M219" s="498"/>
      <c r="N219" s="826">
        <v>585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IFERROR(__xludf.DUMMYFUNCTION("IMPORTRANGE(""https://docs.google.com/spreadsheets/d/1QqKyyYR6Q21VydFLVH3TRQUabQu_ym0Zz7PgGX0-kHA/edit?usp=sharing"",""แผน!AR87"")"),0)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IFERROR(__xludf.DUMMYFUNCTION("IMPORTRANGE(""https://docs.google.com/spreadsheets/d/1QqKyyYR6Q21VydFLVH3TRQUabQu_ym0Zz7PgGX0-kHA/edit?usp=sharing"",""แผน!AT87"")"),6400)</f>
        <v>6400</v>
      </c>
      <c r="J223" s="215">
        <v>6400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IFERROR(__xludf.DUMMYFUNCTION("IMPORTRANGE(""https://docs.google.com/spreadsheets/d/1QqKyyYR6Q21VydFLVH3TRQUabQu_ym0Zz7PgGX0-kHA/edit?usp=sharing"",""แผน!AT87"")"),6400)</f>
        <v>6400</v>
      </c>
      <c r="J224" s="215">
        <v>6400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IFERROR(__xludf.DUMMYFUNCTION("IMPORTRANGE(""https://docs.google.com/spreadsheets/d/1QqKyyYR6Q21VydFLVH3TRQUabQu_ym0Zz7PgGX0-kHA/edit?usp=sharing"",""แผน!AS87"")"),0)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IFERROR(__xludf.DUMMYFUNCTION("IMPORTRANGE(""https://docs.google.com/spreadsheets/d/1QqKyyYR6Q21VydFLVH3TRQUabQu_ym0Zz7PgGX0-kHA/edit?usp=sharing"",""แผน!AV87"")"),0)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IFERROR(__xludf.DUMMYFUNCTION("IMPORTRANGE(""https://docs.google.com/spreadsheets/d/1QqKyyYR6Q21VydFLVH3TRQUabQu_ym0Zz7PgGX0-kHA/edit?usp=sharing"",""แผน!AW87"")"),0)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IFERROR(__xludf.DUMMYFUNCTION("IMPORTRANGE(""https://docs.google.com/spreadsheets/d/1QqKyyYR6Q21VydFLVH3TRQUabQu_ym0Zz7PgGX0-kHA/edit?usp=sharing"",""แผน!AX87"")"),0)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IFERROR(__xludf.DUMMYFUNCTION("IMPORTRANGE(""https://docs.google.com/spreadsheets/d/1QqKyyYR6Q21VydFLVH3TRQUabQu_ym0Zz7PgGX0-kHA/edit?usp=sharing"",""แผน!AY87"")"),0)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IFERROR(__xludf.DUMMYFUNCTION("IMPORTRANGE(""https://docs.google.com/spreadsheets/d/1QqKyyYR6Q21VydFLVH3TRQUabQu_ym0Zz7PgGX0-kHA/edit?usp=sharing"",""แผน!BE87"")"),0)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IFERROR(__xludf.DUMMYFUNCTION("IMPORTRANGE(""https://docs.google.com/spreadsheets/d/1QqKyyYR6Q21VydFLVH3TRQUabQu_ym0Zz7PgGX0-kHA/edit?usp=sharing"",""แผน!AZ87"")"),0)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IFERROR(__xludf.DUMMYFUNCTION("IMPORTRANGE(""https://docs.google.com/spreadsheets/d/1QqKyyYR6Q21VydFLVH3TRQUabQu_ym0Zz7PgGX0-kHA/edit?usp=sharing"",""แผน!BA87"")"),0)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IFERROR(__xludf.DUMMYFUNCTION("IMPORTRANGE(""https://docs.google.com/spreadsheets/d/1QqKyyYR6Q21VydFLVH3TRQUabQu_ym0Zz7PgGX0-kHA/edit?usp=sharing"",""แผน!BB87"")"),0)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IFERROR(__xludf.DUMMYFUNCTION("IMPORTRANGE(""https://docs.google.com/spreadsheets/d/1QqKyyYR6Q21VydFLVH3TRQUabQu_ym0Zz7PgGX0-kHA/edit?usp=sharing"",""แผน!BC87"")"),0)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IFERROR(__xludf.DUMMYFUNCTION("IMPORTRANGE(""https://docs.google.com/spreadsheets/d/1QqKyyYR6Q21VydFLVH3TRQUabQu_ym0Zz7PgGX0-kHA/edit?usp=sharing"",""แผน!BF87"")"),0)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25000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IFERROR(__xludf.DUMMYFUNCTION("IMPORTRANGE(""https://docs.google.com/spreadsheets/d/1MeEWN-I1oV_STSDYn1IFDPWt_1FKiwhDph83XaGc0o0/edit?usp=sharing"",""งบพรบ!CY87"")"),25000)</f>
        <v>25000</v>
      </c>
      <c r="M266" s="93">
        <f ca="1">IFERROR(__xludf.DUMMYFUNCTION("IMPORTRANGE(""https://docs.google.com/spreadsheets/d/1MeEWN-I1oV_STSDYn1IFDPWt_1FKiwhDph83XaGc0o0/edit?usp=sharing"",""งบพรบ!DD87"")"),25000)</f>
        <v>25000</v>
      </c>
      <c r="N266" s="93">
        <f ca="1">IFERROR(__xludf.DUMMYFUNCTION("IMPORTRANGE(""https://docs.google.com/spreadsheets/d/1MeEWN-I1oV_STSDYn1IFDPWt_1FKiwhDph83XaGc0o0/edit?usp=sharing"",""งบพรบ!DF87"")"),0)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IFERROR(__xludf.DUMMYFUNCTION("IMPORTRANGE(""https://docs.google.com/spreadsheets/d/1MeEWN-I1oV_STSDYn1IFDPWt_1FKiwhDph83XaGc0o0/edit?usp=sharing"",""งบพรบ!DB87"")"),0)</f>
        <v>0</v>
      </c>
      <c r="M269" s="93">
        <f ca="1">IFERROR(__xludf.DUMMYFUNCTION("IMPORTRANGE(""https://docs.google.com/spreadsheets/d/1MeEWN-I1oV_STSDYn1IFDPWt_1FKiwhDph83XaGc0o0/edit?usp=sharing"",""งบพรบ!DE87"")"),0)</f>
        <v>0</v>
      </c>
      <c r="N269" s="93">
        <f ca="1">IFERROR(__xludf.DUMMYFUNCTION("IMPORTRANGE(""https://docs.google.com/spreadsheets/d/1MeEWN-I1oV_STSDYn1IFDPWt_1FKiwhDph83XaGc0o0/edit?usp=sharing"",""งบพรบ!DG87"")"),0)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IFERROR(__xludf.DUMMYFUNCTION("IMPORTRANGE(""https://docs.google.com/spreadsheets/d/1QqKyyYR6Q21VydFLVH3TRQUabQu_ym0Zz7PgGX0-kHA/edit?usp=sharing"",""แผน!EA87"")"),20)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IFERROR(__xludf.DUMMYFUNCTION("IMPORTRANGE(""https://docs.google.com/spreadsheets/d/1MeEWN-I1oV_STSDYn1IFDPWt_1FKiwhDph83XaGc0o0/edit?usp=sharing"",""งบพรบ!DI87"")"),0)</f>
        <v>0</v>
      </c>
      <c r="M282" s="93">
        <f ca="1">IFERROR(__xludf.DUMMYFUNCTION("IMPORTRANGE(""https://docs.google.com/spreadsheets/d/1MeEWN-I1oV_STSDYn1IFDPWt_1FKiwhDph83XaGc0o0/edit?usp=sharing"",""งบพรบ!DN87"")"),0)</f>
        <v>0</v>
      </c>
      <c r="N282" s="93">
        <f ca="1">IFERROR(__xludf.DUMMYFUNCTION("IMPORTRANGE(""https://docs.google.com/spreadsheets/d/1MeEWN-I1oV_STSDYn1IFDPWt_1FKiwhDph83XaGc0o0/edit?usp=sharing"",""งบพรบ!DP87"")"),0)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IFERROR(__xludf.DUMMYFUNCTION("IMPORTRANGE(""https://docs.google.com/spreadsheets/d/1MeEWN-I1oV_STSDYn1IFDPWt_1FKiwhDph83XaGc0o0/edit?usp=sharing"",""งบพรบ!DL87"")"),0)</f>
        <v>0</v>
      </c>
      <c r="M285" s="93">
        <f ca="1">IFERROR(__xludf.DUMMYFUNCTION("IMPORTRANGE(""https://docs.google.com/spreadsheets/d/1MeEWN-I1oV_STSDYn1IFDPWt_1FKiwhDph83XaGc0o0/edit?usp=sharing"",""งบพรบ!DO87"")"),0)</f>
        <v>0</v>
      </c>
      <c r="N285" s="93">
        <f ca="1">IFERROR(__xludf.DUMMYFUNCTION("IMPORTRANGE(""https://docs.google.com/spreadsheets/d/1MeEWN-I1oV_STSDYn1IFDPWt_1FKiwhDph83XaGc0o0/edit?usp=sharing"",""งบพรบ!DQ87"")"),0)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IFERROR(__xludf.DUMMYFUNCTION("IMPORTRANGE(""https://docs.google.com/spreadsheets/d/1QqKyyYR6Q21VydFLVH3TRQUabQu_ym0Zz7PgGX0-kHA/edit?usp=sharing"",""แผน!EB87"")"),0)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IFERROR(__xludf.DUMMYFUNCTION("IMPORTRANGE(""https://docs.google.com/spreadsheets/d/1QqKyyYR6Q21VydFLVH3TRQUabQu_ym0Zz7PgGX0-kHA/edit?usp=sharing"",""แผน!EB87"")"),0)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IFERROR(__xludf.DUMMYFUNCTION("IMPORTRANGE(""https://docs.google.com/spreadsheets/d/1MeEWN-I1oV_STSDYn1IFDPWt_1FKiwhDph83XaGc0o0/edit?usp=sharing"",""งบพรบ!DS87"")"),0)</f>
        <v>0</v>
      </c>
      <c r="M303" s="93">
        <f ca="1">IFERROR(__xludf.DUMMYFUNCTION("IMPORTRANGE(""https://docs.google.com/spreadsheets/d/1MeEWN-I1oV_STSDYn1IFDPWt_1FKiwhDph83XaGc0o0/edit?usp=sharing"",""งบพรบ!DX87"")"),0)</f>
        <v>0</v>
      </c>
      <c r="N303" s="93">
        <f ca="1">IFERROR(__xludf.DUMMYFUNCTION("IMPORTRANGE(""https://docs.google.com/spreadsheets/d/1MeEWN-I1oV_STSDYn1IFDPWt_1FKiwhDph83XaGc0o0/edit?usp=sharing"",""งบพรบ!DZ87"")"),0)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IFERROR(__xludf.DUMMYFUNCTION("IMPORTRANGE(""https://docs.google.com/spreadsheets/d/1MeEWN-I1oV_STSDYn1IFDPWt_1FKiwhDph83XaGc0o0/edit?usp=sharing"",""งบพรบ!DV87"")"),0)</f>
        <v>0</v>
      </c>
      <c r="M306" s="93">
        <f ca="1">IFERROR(__xludf.DUMMYFUNCTION("IMPORTRANGE(""https://docs.google.com/spreadsheets/d/1MeEWN-I1oV_STSDYn1IFDPWt_1FKiwhDph83XaGc0o0/edit?usp=sharing"",""งบพรบ!DY87"")"),0)</f>
        <v>0</v>
      </c>
      <c r="N306" s="93">
        <f ca="1">IFERROR(__xludf.DUMMYFUNCTION("IMPORTRANGE(""https://docs.google.com/spreadsheets/d/1MeEWN-I1oV_STSDYn1IFDPWt_1FKiwhDph83XaGc0o0/edit?usp=sharing"",""งบพรบ!EA87"")"),0)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IFERROR(__xludf.DUMMYFUNCTION("IMPORTRANGE(""https://docs.google.com/spreadsheets/d/1QqKyyYR6Q21VydFLVH3TRQUabQu_ym0Zz7PgGX0-kHA/edit?usp=sharing"",""แผน!ED87"")"),0)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IFERROR(__xludf.DUMMYFUNCTION("IMPORTRANGE(""https://docs.google.com/spreadsheets/d/1QqKyyYR6Q21VydFLVH3TRQUabQu_ym0Zz7PgGX0-kHA/edit?usp=sharing"",""แผน!ED87"")"),0)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IFERROR(__xludf.DUMMYFUNCTION("IMPORTRANGE(""https://docs.google.com/spreadsheets/d/1QqKyyYR6Q21VydFLVH3TRQUabQu_ym0Zz7PgGX0-kHA/edit?usp=sharing"",""แผน!ED87"")"),0)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IFERROR(__xludf.DUMMYFUNCTION("IMPORTRANGE(""https://docs.google.com/spreadsheets/d/1QqKyyYR6Q21VydFLVH3TRQUabQu_ym0Zz7PgGX0-kHA/edit?usp=sharing"",""แผน!EE87"")"),0)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IFERROR(__xludf.DUMMYFUNCTION("IMPORTRANGE(""https://docs.google.com/spreadsheets/d/1MeEWN-I1oV_STSDYn1IFDPWt_1FKiwhDph83XaGc0o0/edit?usp=sharing"",""งบพรบ!EC87"")"),0)</f>
        <v>0</v>
      </c>
      <c r="M320" s="93">
        <f ca="1">IFERROR(__xludf.DUMMYFUNCTION("IMPORTRANGE(""https://docs.google.com/spreadsheets/d/1MeEWN-I1oV_STSDYn1IFDPWt_1FKiwhDph83XaGc0o0/edit?usp=sharing"",""งบพรบ!EH87"")"),0)</f>
        <v>0</v>
      </c>
      <c r="N320" s="93">
        <f ca="1">IFERROR(__xludf.DUMMYFUNCTION("IMPORTRANGE(""https://docs.google.com/spreadsheets/d/1MeEWN-I1oV_STSDYn1IFDPWt_1FKiwhDph83XaGc0o0/edit?usp=sharing"",""งบพรบ!EJ87"")"),0)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IFERROR(__xludf.DUMMYFUNCTION("IMPORTRANGE(""https://docs.google.com/spreadsheets/d/1MeEWN-I1oV_STSDYn1IFDPWt_1FKiwhDph83XaGc0o0/edit?usp=sharing"",""งบพรบ!EF87"")"),0)</f>
        <v>0</v>
      </c>
      <c r="M323" s="93">
        <f ca="1">IFERROR(__xludf.DUMMYFUNCTION("IMPORTRANGE(""https://docs.google.com/spreadsheets/d/1MeEWN-I1oV_STSDYn1IFDPWt_1FKiwhDph83XaGc0o0/edit?usp=sharing"",""งบพรบ!EI87"")"),0)</f>
        <v>0</v>
      </c>
      <c r="N323" s="93">
        <f ca="1">IFERROR(__xludf.DUMMYFUNCTION("IMPORTRANGE(""https://docs.google.com/spreadsheets/d/1MeEWN-I1oV_STSDYn1IFDPWt_1FKiwhDph83XaGc0o0/edit?usp=sharing"",""งบพรบ!EK87"")"),0)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IFERROR(__xludf.DUMMYFUNCTION("IMPORTRANGE(""https://docs.google.com/spreadsheets/d/1QqKyyYR6Q21VydFLVH3TRQUabQu_ym0Zz7PgGX0-kHA/edit?usp=sharing"",""แผน!EF87"")"),0)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IFERROR(__xludf.DUMMYFUNCTION("IMPORTRANGE(""https://docs.google.com/spreadsheets/d/1QqKyyYR6Q21VydFLVH3TRQUabQu_ym0Zz7PgGX0-kHA/edit?usp=sharing"",""แผน!EG87"")"),200)</f>
        <v>200</v>
      </c>
      <c r="J327" s="445">
        <f ca="1">J338+J341+J342+J343</f>
        <v>534</v>
      </c>
      <c r="K327" s="446">
        <f ca="1">IF(I327&gt;0,J327*100/I327,0)</f>
        <v>267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159500</v>
      </c>
      <c r="N328" s="155">
        <f t="shared" ca="1" si="149"/>
        <v>117093</v>
      </c>
      <c r="O328" s="155">
        <f t="shared" ref="O328:O336" ca="1" si="150">IF(L328&gt;0,N328*100/L328,0)</f>
        <v>74.581528662420382</v>
      </c>
      <c r="P328" s="155">
        <f t="shared" ref="P328:P336" ca="1" si="151">IF(M328&gt;0,N328*100/M328,0)</f>
        <v>73.412539184952976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157000</v>
      </c>
      <c r="M330" s="93">
        <f t="shared" ca="1" si="152"/>
        <v>159500</v>
      </c>
      <c r="N330" s="93">
        <f t="shared" ca="1" si="152"/>
        <v>117093</v>
      </c>
      <c r="O330" s="93">
        <f t="shared" ca="1" si="150"/>
        <v>74.581528662420382</v>
      </c>
      <c r="P330" s="93">
        <f t="shared" ca="1" si="151"/>
        <v>73.412539184952976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159500</v>
      </c>
      <c r="N331" s="498">
        <f t="shared" ca="1" si="153"/>
        <v>117093</v>
      </c>
      <c r="O331" s="498">
        <f t="shared" ca="1" si="150"/>
        <v>74.581528662420382</v>
      </c>
      <c r="P331" s="498">
        <f t="shared" ca="1" si="151"/>
        <v>73.412539184952976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IFERROR(__xludf.DUMMYFUNCTION("IMPORTRANGE(""https://docs.google.com/spreadsheets/d/1MeEWN-I1oV_STSDYn1IFDPWt_1FKiwhDph83XaGc0o0/edit?usp=sharing"",""งบพรบ!EM87"")"),157000)</f>
        <v>157000</v>
      </c>
      <c r="M333" s="93">
        <f ca="1">IFERROR(__xludf.DUMMYFUNCTION("IMPORTRANGE(""https://docs.google.com/spreadsheets/d/1MeEWN-I1oV_STSDYn1IFDPWt_1FKiwhDph83XaGc0o0/edit?usp=sharing"",""งบพรบ!ER87"")"),159500)</f>
        <v>159500</v>
      </c>
      <c r="N333" s="93">
        <f ca="1">IFERROR(__xludf.DUMMYFUNCTION("IMPORTRANGE(""https://docs.google.com/spreadsheets/d/1MeEWN-I1oV_STSDYn1IFDPWt_1FKiwhDph83XaGc0o0/edit?usp=sharing"",""งบพรบ!ET87"")"),117093)</f>
        <v>117093</v>
      </c>
      <c r="O333" s="93">
        <f t="shared" ca="1" si="150"/>
        <v>74.581528662420382</v>
      </c>
      <c r="P333" s="93">
        <f t="shared" ca="1" si="151"/>
        <v>73.412539184952976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IFERROR(__xludf.DUMMYFUNCTION("IMPORTRANGE(""https://docs.google.com/spreadsheets/d/1MeEWN-I1oV_STSDYn1IFDPWt_1FKiwhDph83XaGc0o0/edit?usp=sharing"",""งบพรบ!EP87"")"),0)</f>
        <v>0</v>
      </c>
      <c r="M336" s="93">
        <f ca="1">IFERROR(__xludf.DUMMYFUNCTION("IMPORTRANGE(""https://docs.google.com/spreadsheets/d/1MeEWN-I1oV_STSDYn1IFDPWt_1FKiwhDph83XaGc0o0/edit?usp=sharing"",""งบพรบ!ES87"")"),0)</f>
        <v>0</v>
      </c>
      <c r="N336" s="93">
        <f ca="1">IFERROR(__xludf.DUMMYFUNCTION("IMPORTRANGE(""https://docs.google.com/spreadsheets/d/1MeEWN-I1oV_STSDYn1IFDPWt_1FKiwhDph83XaGc0o0/edit?usp=sharing"",""งบพรบ!EU87"")"),0)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902">
        <f ca="1">IFERROR(__xludf.DUMMYFUNCTION("IMPORTRANGE(""https://docs.google.com/spreadsheets/d/1QqKyyYR6Q21VydFLVH3TRQUabQu_ym0Zz7PgGX0-kHA/edit?usp=sharing"",""แผน!EG87"")"),200)</f>
        <v>200</v>
      </c>
      <c r="J338" s="903">
        <f ca="1">IFERROR(__xludf.DUMMYFUNCTION("IMPORTRANGE(""https://docs.google.com/spreadsheets/d/1kVcqe37tkHyjCSG3S0O1AXqVkqjo8mSIZil3BcpIysc/edit?usp=sharing"",""ศูนย์!D87"")"),516)</f>
        <v>516</v>
      </c>
      <c r="K338" s="904">
        <f ca="1">IF(I338&gt;0,J338*100/I338,0)</f>
        <v>258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905"/>
      <c r="J339" s="906"/>
      <c r="K339" s="907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908">
        <f ca="1">IFERROR(__xludf.DUMMYFUNCTION("IMPORTRANGE(""https://docs.google.com/spreadsheets/d/1QqKyyYR6Q21VydFLVH3TRQUabQu_ym0Zz7PgGX0-kHA/edit?usp=sharing"",""แผน!EH87"")"),2)</f>
        <v>2</v>
      </c>
      <c r="J340" s="909">
        <f ca="1">IFERROR(__xludf.DUMMYFUNCTION("IMPORTRANGE(""https://docs.google.com/spreadsheets/d/1kVcqe37tkHyjCSG3S0O1AXqVkqjo8mSIZil3BcpIysc/edit?usp=sharing"",""ศูนย์!E87"")"),2)</f>
        <v>2</v>
      </c>
      <c r="K340" s="910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905"/>
      <c r="J341" s="909">
        <f ca="1">IFERROR(__xludf.DUMMYFUNCTION("IMPORTRANGE(""https://docs.google.com/spreadsheets/d/1kVcqe37tkHyjCSG3S0O1AXqVkqjo8mSIZil3BcpIysc/edit?usp=sharing"",""ศูนย์!F87"")"),18)</f>
        <v>18</v>
      </c>
      <c r="K341" s="907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905"/>
      <c r="J342" s="909">
        <f ca="1">IFERROR(__xludf.DUMMYFUNCTION("IMPORTRANGE(""https://docs.google.com/spreadsheets/d/1kVcqe37tkHyjCSG3S0O1AXqVkqjo8mSIZil3BcpIysc/edit?usp=sharing"",""ศูนย์!G87"")"),0)</f>
        <v>0</v>
      </c>
      <c r="K342" s="907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905"/>
      <c r="J343" s="909">
        <f ca="1">IFERROR(__xludf.DUMMYFUNCTION("IMPORTRANGE(""https://docs.google.com/spreadsheets/d/1kVcqe37tkHyjCSG3S0O1AXqVkqjo8mSIZil3BcpIysc/edit?usp=sharing"",""ศูนย์!H87"")"),0)</f>
        <v>0</v>
      </c>
      <c r="K343" s="907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518480</v>
      </c>
      <c r="M345" s="155">
        <f t="shared" ca="1" si="155"/>
        <v>659380</v>
      </c>
      <c r="N345" s="155">
        <f t="shared" ca="1" si="155"/>
        <v>474208.69</v>
      </c>
      <c r="O345" s="155">
        <f t="shared" ref="O345:O353" ca="1" si="156">IF(L345&gt;0,N345*100/L345,0)</f>
        <v>91.461327341459651</v>
      </c>
      <c r="P345" s="155">
        <f t="shared" ref="P345:P353" ca="1" si="157">IF(M345&gt;0,N345*100/M345,0)</f>
        <v>71.917360247505229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518480</v>
      </c>
      <c r="M347" s="93">
        <f t="shared" ca="1" si="158"/>
        <v>659380</v>
      </c>
      <c r="N347" s="93">
        <f t="shared" ca="1" si="158"/>
        <v>474208.69</v>
      </c>
      <c r="O347" s="93">
        <f t="shared" ca="1" si="156"/>
        <v>91.461327341459651</v>
      </c>
      <c r="P347" s="93">
        <f t="shared" ca="1" si="157"/>
        <v>71.917360247505229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442480</v>
      </c>
      <c r="M348" s="498">
        <f t="shared" ca="1" si="159"/>
        <v>583380</v>
      </c>
      <c r="N348" s="498">
        <f t="shared" ca="1" si="159"/>
        <v>398208.69</v>
      </c>
      <c r="O348" s="498">
        <f t="shared" ca="1" si="156"/>
        <v>89.994731965286562</v>
      </c>
      <c r="P348" s="498">
        <f t="shared" ca="1" si="157"/>
        <v>68.258886146251157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IFERROR(__xludf.DUMMYFUNCTION("IMPORTRANGE(""https://docs.google.com/spreadsheets/d/1MeEWN-I1oV_STSDYn1IFDPWt_1FKiwhDph83XaGc0o0/edit?usp=sharing"",""งบพรบ!EW87"")"),442480)</f>
        <v>442480</v>
      </c>
      <c r="M350" s="93">
        <f ca="1">IFERROR(__xludf.DUMMYFUNCTION("IMPORTRANGE(""https://docs.google.com/spreadsheets/d/1MeEWN-I1oV_STSDYn1IFDPWt_1FKiwhDph83XaGc0o0/edit?usp=sharing"",""งบพรบ!FB87"")"),583380)</f>
        <v>583380</v>
      </c>
      <c r="N350" s="93">
        <f ca="1">IFERROR(__xludf.DUMMYFUNCTION("IMPORTRANGE(""https://docs.google.com/spreadsheets/d/1MeEWN-I1oV_STSDYn1IFDPWt_1FKiwhDph83XaGc0o0/edit?usp=sharing"",""งบพรบ!FD87"")"),398208.69)</f>
        <v>398208.69</v>
      </c>
      <c r="O350" s="93">
        <f t="shared" ca="1" si="156"/>
        <v>89.994731965286562</v>
      </c>
      <c r="P350" s="93">
        <f t="shared" ca="1" si="157"/>
        <v>68.258886146251157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76000</v>
      </c>
      <c r="N351" s="498">
        <f t="shared" ca="1" si="160"/>
        <v>76000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IFERROR(__xludf.DUMMYFUNCTION("IMPORTRANGE(""https://docs.google.com/spreadsheets/d/1MeEWN-I1oV_STSDYn1IFDPWt_1FKiwhDph83XaGc0o0/edit?usp=sharing"",""งบพรบ!EZ87"")"),76000)</f>
        <v>76000</v>
      </c>
      <c r="M353" s="93">
        <f ca="1">IFERROR(__xludf.DUMMYFUNCTION("IMPORTRANGE(""https://docs.google.com/spreadsheets/d/1MeEWN-I1oV_STSDYn1IFDPWt_1FKiwhDph83XaGc0o0/edit?usp=sharing"",""งบพรบ!FC87"")"),76000)</f>
        <v>76000</v>
      </c>
      <c r="N353" s="93">
        <f ca="1">IFERROR(__xludf.DUMMYFUNCTION("IMPORTRANGE(""https://docs.google.com/spreadsheets/d/1MeEWN-I1oV_STSDYn1IFDPWt_1FKiwhDph83XaGc0o0/edit?usp=sharing"",""งบพรบ!FE87"")"),76000)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IFERROR(__xludf.DUMMYFUNCTION("IMPORTRANGE(""https://docs.google.com/spreadsheets/d/1QqKyyYR6Q21VydFLVH3TRQUabQu_ym0Zz7PgGX0-kHA/edit?usp=sharing"",""แผน!EP87"")"),59)</f>
        <v>59</v>
      </c>
      <c r="J355" s="465">
        <f ca="1">J362</f>
        <v>51</v>
      </c>
      <c r="K355" s="466">
        <f ca="1">IF(I355&gt;0,J355*100/I355,0)</f>
        <v>86.440677966101688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IFERROR(__xludf.DUMMYFUNCTION("IMPORTRANGE(""https://docs.google.com/spreadsheets/d/1XWAQStnk-4SwqDmLtmXYiTMKHgktTP8We1SCoS47DrQ/edit?usp=sharing"",""จัดที่ดิน!W87"")"),59)</f>
        <v>59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IFERROR(__xludf.DUMMYFUNCTION("IMPORTRANGE(""https://docs.google.com/spreadsheets/d/1QqKyyYR6Q21VydFLVH3TRQUabQu_ym0Zz7PgGX0-kHA/edit?usp=sharing"",""แผน!EO87"")"),379)</f>
        <v>379</v>
      </c>
      <c r="J359" s="270">
        <f ca="1">IFERROR(__xludf.DUMMYFUNCTION("IMPORTRANGE(""https://docs.google.com/spreadsheets/d/1XWAQStnk-4SwqDmLtmXYiTMKHgktTP8We1SCoS47DrQ/edit?usp=sharing"",""จัดที่ดิน!X87"")"),285.71)</f>
        <v>285.70999999999998</v>
      </c>
      <c r="K359" s="498">
        <f t="shared" ca="1" si="161"/>
        <v>75.385224274406326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IFERROR(__xludf.DUMMYFUNCTION("IMPORTRANGE(""https://docs.google.com/spreadsheets/d/1QqKyyYR6Q21VydFLVH3TRQUabQu_ym0Zz7PgGX0-kHA/edit?usp=sharing"",""แผน!EP87"")"),59)</f>
        <v>59</v>
      </c>
      <c r="J360" s="270">
        <f ca="1">IFERROR(__xludf.DUMMYFUNCTION("IMPORTRANGE(""https://docs.google.com/spreadsheets/d/1XWAQStnk-4SwqDmLtmXYiTMKHgktTP8We1SCoS47DrQ/edit?usp=sharing"",""จัดที่ดิน!Y87"")"),59)</f>
        <v>59</v>
      </c>
      <c r="K360" s="498">
        <f t="shared" ca="1" si="161"/>
        <v>100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IFERROR(__xludf.DUMMYFUNCTION("IMPORTRANGE(""https://docs.google.com/spreadsheets/d/1XWAQStnk-4SwqDmLtmXYiTMKHgktTP8We1SCoS47DrQ/edit?usp=sharing"",""จัดที่ดิน!Z87"")"),285.71)</f>
        <v>285.70999999999998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IFERROR(__xludf.DUMMYFUNCTION("IMPORTRANGE(""https://docs.google.com/spreadsheets/d/1QqKyyYR6Q21VydFLVH3TRQUabQu_ym0Zz7PgGX0-kHA/edit?usp=sharing"",""แผน!EP87"")"),59)</f>
        <v>59</v>
      </c>
      <c r="J362" s="270">
        <f ca="1">IFERROR(__xludf.DUMMYFUNCTION("IMPORTRANGE(""https://docs.google.com/spreadsheets/d/1XWAQStnk-4SwqDmLtmXYiTMKHgktTP8We1SCoS47DrQ/edit?usp=sharing"",""จัดที่ดิน!AA87"")"),51)</f>
        <v>51</v>
      </c>
      <c r="K362" s="498">
        <f t="shared" ca="1" si="161"/>
        <v>86.440677966101688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IFERROR(__xludf.DUMMYFUNCTION("IMPORTRANGE(""https://docs.google.com/spreadsheets/d/1XWAQStnk-4SwqDmLtmXYiTMKHgktTP8We1SCoS47DrQ/edit?usp=sharing"",""จัดที่ดิน!AB87"")"),254.3)</f>
        <v>254.3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75</v>
      </c>
      <c r="J364" s="479">
        <f t="shared" ca="1" si="162"/>
        <v>69</v>
      </c>
      <c r="K364" s="480">
        <f t="shared" ca="1" si="161"/>
        <v>92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IFERROR(__xludf.DUMMYFUNCTION("IMPORTRANGE(""https://docs.google.com/spreadsheets/d/1QqKyyYR6Q21VydFLVH3TRQUabQu_ym0Zz7PgGX0-kHA/edit?usp=sharing"",""แผน!EJ87"")"),35)</f>
        <v>35</v>
      </c>
      <c r="J365" s="491">
        <f ca="1">J372</f>
        <v>31</v>
      </c>
      <c r="K365" s="492">
        <f t="shared" ca="1" si="161"/>
        <v>88.571428571428569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IFERROR(__xludf.DUMMYFUNCTION("IMPORTRANGE(""https://docs.google.com/spreadsheets/d/1XWAQStnk-4SwqDmLtmXYiTMKHgktTP8We1SCoS47DrQ/edit?usp=sharing"",""จัดที่ดิน!E87"")"),31)</f>
        <v>31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IFERROR(__xludf.DUMMYFUNCTION("IMPORTRANGE(""https://docs.google.com/spreadsheets/d/1QqKyyYR6Q21VydFLVH3TRQUabQu_ym0Zz7PgGX0-kHA/edit?usp=sharing"",""แผน!EI87"")"),200)</f>
        <v>200</v>
      </c>
      <c r="J369" s="270">
        <f ca="1">IFERROR(__xludf.DUMMYFUNCTION("IMPORTRANGE(""https://docs.google.com/spreadsheets/d/1XWAQStnk-4SwqDmLtmXYiTMKHgktTP8We1SCoS47DrQ/edit?usp=sharing"",""จัดที่ดิน!F87"")"),104.36)</f>
        <v>104.36</v>
      </c>
      <c r="K369" s="498">
        <f t="shared" ca="1" si="163"/>
        <v>52.18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IFERROR(__xludf.DUMMYFUNCTION("IMPORTRANGE(""https://docs.google.com/spreadsheets/d/1QqKyyYR6Q21VydFLVH3TRQUabQu_ym0Zz7PgGX0-kHA/edit?usp=sharing"",""แผน!EJ87"")"),35)</f>
        <v>35</v>
      </c>
      <c r="J370" s="270">
        <f ca="1">IFERROR(__xludf.DUMMYFUNCTION("IMPORTRANGE(""https://docs.google.com/spreadsheets/d/1XWAQStnk-4SwqDmLtmXYiTMKHgktTP8We1SCoS47DrQ/edit?usp=sharing"",""จัดที่ดิน!G87"")"),31)</f>
        <v>31</v>
      </c>
      <c r="K370" s="498">
        <f t="shared" ca="1" si="163"/>
        <v>88.571428571428569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IFERROR(__xludf.DUMMYFUNCTION("IMPORTRANGE(""https://docs.google.com/spreadsheets/d/1XWAQStnk-4SwqDmLtmXYiTMKHgktTP8We1SCoS47DrQ/edit?usp=sharing"",""จัดที่ดิน!H87"")"),104.36)</f>
        <v>104.36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IFERROR(__xludf.DUMMYFUNCTION("IMPORTRANGE(""https://docs.google.com/spreadsheets/d/1QqKyyYR6Q21VydFLVH3TRQUabQu_ym0Zz7PgGX0-kHA/edit?usp=sharing"",""แผน!EJ87"")"),35)</f>
        <v>35</v>
      </c>
      <c r="J372" s="270">
        <f ca="1">IFERROR(__xludf.DUMMYFUNCTION("IMPORTRANGE(""https://docs.google.com/spreadsheets/d/1XWAQStnk-4SwqDmLtmXYiTMKHgktTP8We1SCoS47DrQ/edit?usp=sharing"",""จัดที่ดิน!I87"")"),31)</f>
        <v>31</v>
      </c>
      <c r="K372" s="498">
        <f t="shared" ca="1" si="163"/>
        <v>88.571428571428569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IFERROR(__xludf.DUMMYFUNCTION("IMPORTRANGE(""https://docs.google.com/spreadsheets/d/1XWAQStnk-4SwqDmLtmXYiTMKHgktTP8We1SCoS47DrQ/edit?usp=sharing"",""จัดที่ดิน!J87"")"),104.36)</f>
        <v>104.36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IFERROR(__xludf.DUMMYFUNCTION("IMPORTRANGE(""https://docs.google.com/spreadsheets/d/1QqKyyYR6Q21VydFLVH3TRQUabQu_ym0Zz7PgGX0-kHA/edit?usp=sharing"",""แผน!EU87"")"),40)</f>
        <v>40</v>
      </c>
      <c r="J374" s="491">
        <f ca="1">J381</f>
        <v>38</v>
      </c>
      <c r="K374" s="492">
        <f t="shared" ca="1" si="163"/>
        <v>95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IFERROR(__xludf.DUMMYFUNCTION("IMPORTRANGE(""https://docs.google.com/spreadsheets/d/1XWAQStnk-4SwqDmLtmXYiTMKHgktTP8We1SCoS47DrQ/edit?usp=sharing"",""จัดที่ดิน!AH87"")"),28)</f>
        <v>28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IFERROR(__xludf.DUMMYFUNCTION("IMPORTRANGE(""https://docs.google.com/spreadsheets/d/1QqKyyYR6Q21VydFLVH3TRQUabQu_ym0Zz7PgGX0-kHA/edit?usp=sharing"",""แผน!ET87"")"),179)</f>
        <v>179</v>
      </c>
      <c r="J378" s="270">
        <f ca="1">IFERROR(__xludf.DUMMYFUNCTION("IMPORTRANGE(""https://docs.google.com/spreadsheets/d/1XWAQStnk-4SwqDmLtmXYiTMKHgktTP8We1SCoS47DrQ/edit?usp=sharing"",""จัดที่ดิน!AI87"")"),181.35)</f>
        <v>181.35</v>
      </c>
      <c r="K378" s="498">
        <f t="shared" ca="1" si="164"/>
        <v>101.31284916201118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IFERROR(__xludf.DUMMYFUNCTION("IMPORTRANGE(""https://docs.google.com/spreadsheets/d/1QqKyyYR6Q21VydFLVH3TRQUabQu_ym0Zz7PgGX0-kHA/edit?usp=sharing"",""แผน!EU87"")"),40)</f>
        <v>40</v>
      </c>
      <c r="J379" s="270">
        <f ca="1">IFERROR(__xludf.DUMMYFUNCTION("IMPORTRANGE(""https://docs.google.com/spreadsheets/d/1XWAQStnk-4SwqDmLtmXYiTMKHgktTP8We1SCoS47DrQ/edit?usp=sharing"",""จัดที่ดิน!AJ87"")"),47)</f>
        <v>47</v>
      </c>
      <c r="K379" s="498">
        <f t="shared" ca="1" si="164"/>
        <v>117.5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IFERROR(__xludf.DUMMYFUNCTION("IMPORTRANGE(""https://docs.google.com/spreadsheets/d/1XWAQStnk-4SwqDmLtmXYiTMKHgktTP8We1SCoS47DrQ/edit?usp=sharing"",""จัดที่ดิน!AK87"")"),341.28)</f>
        <v>341.28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IFERROR(__xludf.DUMMYFUNCTION("IMPORTRANGE(""https://docs.google.com/spreadsheets/d/1QqKyyYR6Q21VydFLVH3TRQUabQu_ym0Zz7PgGX0-kHA/edit?usp=sharing"",""แผน!EU87"")"),40)</f>
        <v>40</v>
      </c>
      <c r="J381" s="270">
        <f ca="1">IFERROR(__xludf.DUMMYFUNCTION("IMPORTRANGE(""https://docs.google.com/spreadsheets/d/1XWAQStnk-4SwqDmLtmXYiTMKHgktTP8We1SCoS47DrQ/edit?usp=sharing"",""จัดที่ดิน!AL87"")"),38)</f>
        <v>38</v>
      </c>
      <c r="K381" s="498">
        <f t="shared" ca="1" si="164"/>
        <v>95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IFERROR(__xludf.DUMMYFUNCTION("IMPORTRANGE(""https://docs.google.com/spreadsheets/d/1XWAQStnk-4SwqDmLtmXYiTMKHgktTP8We1SCoS47DrQ/edit?usp=sharing"",""จัดที่ดิน!AM87"")"),307.44)</f>
        <v>307.44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IFERROR(__xludf.DUMMYFUNCTION("IMPORTRANGE(""https://docs.google.com/spreadsheets/d/1QqKyyYR6Q21VydFLVH3TRQUabQu_ym0Zz7PgGX0-kHA/edit?usp=sharing"",""แผน!EW87"")"),5)</f>
        <v>5</v>
      </c>
      <c r="J385" s="505">
        <f ca="1">IFERROR(__xludf.DUMMYFUNCTION("IMPORTRANGE(""https://docs.google.com/spreadsheets/d/1XWAQStnk-4SwqDmLtmXYiTMKHgktTP8We1SCoS47DrQ/edit?usp=sharing"",""จัดที่ดิน!AP87"")"),0)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IFERROR(__xludf.DUMMYFUNCTION("IMPORTRANGE(""https://docs.google.com/spreadsheets/d/1MeEWN-I1oV_STSDYn1IFDPWt_1FKiwhDph83XaGc0o0/edit?usp=sharing"",""งบพรบ!FG87"")"),0)</f>
        <v>0</v>
      </c>
      <c r="M394" s="93">
        <f ca="1">IFERROR(__xludf.DUMMYFUNCTION("IMPORTRANGE(""https://docs.google.com/spreadsheets/d/1MeEWN-I1oV_STSDYn1IFDPWt_1FKiwhDph83XaGc0o0/edit?usp=sharing"",""งบพรบ!FL87"")"),0)</f>
        <v>0</v>
      </c>
      <c r="N394" s="93">
        <f ca="1">IFERROR(__xludf.DUMMYFUNCTION("IMPORTRANGE(""https://docs.google.com/spreadsheets/d/1MeEWN-I1oV_STSDYn1IFDPWt_1FKiwhDph83XaGc0o0/edit?usp=sharing"",""งบพรบ!FN87"")"),0)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IFERROR(__xludf.DUMMYFUNCTION("IMPORTRANGE(""https://docs.google.com/spreadsheets/d/1MeEWN-I1oV_STSDYn1IFDPWt_1FKiwhDph83XaGc0o0/edit?usp=sharing"",""งบพรบ!FJ87"")"),0)</f>
        <v>0</v>
      </c>
      <c r="M397" s="93">
        <f ca="1">IFERROR(__xludf.DUMMYFUNCTION("IMPORTRANGE(""https://docs.google.com/spreadsheets/d/1MeEWN-I1oV_STSDYn1IFDPWt_1FKiwhDph83XaGc0o0/edit?usp=sharing"",""งบพรบ!FM87"")"),0)</f>
        <v>0</v>
      </c>
      <c r="N397" s="93">
        <f ca="1">IFERROR(__xludf.DUMMYFUNCTION("IMPORTRANGE(""https://docs.google.com/spreadsheets/d/1MeEWN-I1oV_STSDYn1IFDPWt_1FKiwhDph83XaGc0o0/edit?usp=sharing"",""งบพรบ!FO87"")"),0)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IFERROR(__xludf.DUMMYFUNCTION("IMPORTRANGE(""https://docs.google.com/spreadsheets/d/1MeEWN-I1oV_STSDYn1IFDPWt_1FKiwhDph83XaGc0o0/edit?usp=sharing"",""งบพรบ!FQ87"")"),0)</f>
        <v>0</v>
      </c>
      <c r="M407" s="93">
        <f ca="1">IFERROR(__xludf.DUMMYFUNCTION("IMPORTRANGE(""https://docs.google.com/spreadsheets/d/1MeEWN-I1oV_STSDYn1IFDPWt_1FKiwhDph83XaGc0o0/edit?usp=sharing"",""งบพรบ!FV87"")"),0)</f>
        <v>0</v>
      </c>
      <c r="N407" s="93">
        <f ca="1">IFERROR(__xludf.DUMMYFUNCTION("IMPORTRANGE(""https://docs.google.com/spreadsheets/d/1MeEWN-I1oV_STSDYn1IFDPWt_1FKiwhDph83XaGc0o0/edit?usp=sharing"",""งบพรบ!FX87"")"),0)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IFERROR(__xludf.DUMMYFUNCTION("IMPORTRANGE(""https://docs.google.com/spreadsheets/d/1MeEWN-I1oV_STSDYn1IFDPWt_1FKiwhDph83XaGc0o0/edit?usp=sharing"",""งบพรบ!FT87"")"),0)</f>
        <v>0</v>
      </c>
      <c r="M410" s="93">
        <f ca="1">IFERROR(__xludf.DUMMYFUNCTION("IMPORTRANGE(""https://docs.google.com/spreadsheets/d/1MeEWN-I1oV_STSDYn1IFDPWt_1FKiwhDph83XaGc0o0/edit?usp=sharing"",""งบพรบ!FW87"")"),0)</f>
        <v>0</v>
      </c>
      <c r="N410" s="93">
        <f ca="1">IFERROR(__xludf.DUMMYFUNCTION("IMPORTRANGE(""https://docs.google.com/spreadsheets/d/1MeEWN-I1oV_STSDYn1IFDPWt_1FKiwhDph83XaGc0o0/edit?usp=sharing"",""งบพรบ!FY87"")"),0)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447086</v>
      </c>
      <c r="M414" s="553">
        <f t="shared" ca="1" si="181"/>
        <v>447086</v>
      </c>
      <c r="N414" s="553">
        <f t="shared" si="181"/>
        <v>355657.3</v>
      </c>
      <c r="O414" s="553">
        <f ca="1">IF(L414&gt;0,N414*100/L414,0)</f>
        <v>79.550086560527504</v>
      </c>
      <c r="P414" s="553">
        <f ca="1">IF(M414&gt;0,N414*100/M414,0)</f>
        <v>79.550086560527504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59754</v>
      </c>
      <c r="O419" s="155">
        <f t="shared" ref="O419:O424" ca="1" si="185">IF(L419&gt;0,N419*100/L419,0)</f>
        <v>89.77463942307692</v>
      </c>
      <c r="P419" s="155">
        <f t="shared" ref="P419:P424" ca="1" si="186">IF(M419&gt;0,N419*100/M419,0)</f>
        <v>89.77463942307692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59754</v>
      </c>
      <c r="O421" s="93">
        <f t="shared" ca="1" si="185"/>
        <v>89.77463942307692</v>
      </c>
      <c r="P421" s="93">
        <f t="shared" ca="1" si="186"/>
        <v>89.77463942307692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59754</v>
      </c>
      <c r="O422" s="498">
        <f t="shared" ca="1" si="185"/>
        <v>89.77463942307692</v>
      </c>
      <c r="P422" s="498">
        <f t="shared" ca="1" si="186"/>
        <v>89.77463942307692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IFERROR(__xludf.DUMMYFUNCTION("IMPORTRANGE(""https://docs.google.com/spreadsheets/d/1QqKyyYR6Q21VydFLVH3TRQUabQu_ym0Zz7PgGX0-kHA/edit?usp=sharing"",""แผน!EY87"")"),66560)</f>
        <v>66560</v>
      </c>
      <c r="M424" s="93">
        <f ca="1">L424</f>
        <v>66560</v>
      </c>
      <c r="N424" s="93">
        <f>N425+N426+N427+N428</f>
        <v>59754</v>
      </c>
      <c r="O424" s="93">
        <f t="shared" ca="1" si="185"/>
        <v>89.77463942307692</v>
      </c>
      <c r="P424" s="93">
        <f t="shared" ca="1" si="186"/>
        <v>89.77463942307692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36300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5760+2000+13014+2680</f>
        <v>23454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IFERROR(__xludf.DUMMYFUNCTION("IMPORTRANGE(""https://docs.google.com/spreadsheets/d/1QqKyyYR6Q21VydFLVH3TRQUabQu_ym0Zz7PgGX0-kHA/edit?usp=sharing"",""แผน!FC87"")"),15)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IFERROR(__xludf.DUMMYFUNCTION("IMPORTRANGE(""https://docs.google.com/spreadsheets/d/1QqKyyYR6Q21VydFLVH3TRQUabQu_ym0Zz7PgGX0-kHA/edit?usp=sharing"",""แผน!FD87"")"),0)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IFERROR(__xludf.DUMMYFUNCTION("IMPORTRANGE(""https://docs.google.com/spreadsheets/d/1QqKyyYR6Q21VydFLVH3TRQUabQu_ym0Zz7PgGX0-kHA/edit?usp=sharing"",""แผน!FE87"")"),0)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IFERROR(__xludf.DUMMYFUNCTION("IMPORTRANGE(""https://docs.google.com/spreadsheets/d/1QqKyyYR6Q21VydFLVH3TRQUabQu_ym0Zz7PgGX0-kHA/edit?usp=sharing"",""แผน!FF87"")"),15)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IFERROR(__xludf.DUMMYFUNCTION("IMPORTRANGE(""https://docs.google.com/spreadsheets/d/1QqKyyYR6Q21VydFLVH3TRQUabQu_ym0Zz7PgGX0-kHA/edit?usp=sharing"",""แผน!FG87"")"),1)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IFERROR(__xludf.DUMMYFUNCTION("IMPORTRANGE(""https://docs.google.com/spreadsheets/d/1QqKyyYR6Q21VydFLVH3TRQUabQu_ym0Zz7PgGX0-kHA/edit?usp=sharing"",""แผน!FH87"")"),0)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IFERROR(__xludf.DUMMYFUNCTION("IMPORTRANGE(""https://docs.google.com/spreadsheets/d/1QqKyyYR6Q21VydFLVH3TRQUabQu_ym0Zz7PgGX0-kHA/edit?usp=sharing"",""แผน!FN87"")"),0)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IFERROR(__xludf.DUMMYFUNCTION("IMPORTRANGE(""https://docs.google.com/spreadsheets/d/1QqKyyYR6Q21VydFLVH3TRQUabQu_ym0Zz7PgGX0-kHA/edit?usp=sharing"",""แผน!FO87"")"),0)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IFERROR(__xludf.DUMMYFUNCTION("IMPORTRANGE(""https://docs.google.com/spreadsheets/d/1QqKyyYR6Q21VydFLVH3TRQUabQu_ym0Zz7PgGX0-kHA/edit?usp=sharing"",""แผน!FO87"")"),0)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IFERROR(__xludf.DUMMYFUNCTION("IMPORTRANGE(""https://docs.google.com/spreadsheets/d/1QqKyyYR6Q21VydFLVH3TRQUabQu_ym0Zz7PgGX0-kHA/edit?usp=sharing"",""แผน!FN87"")"),0)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IFERROR(__xludf.DUMMYFUNCTION("IMPORTRANGE(""https://docs.google.com/spreadsheets/d/1QqKyyYR6Q21VydFLVH3TRQUabQu_ym0Zz7PgGX0-kHA/edit?usp=sharing"",""แผน!FX87"")"),11)</f>
        <v>11</v>
      </c>
      <c r="J465" s="589">
        <f>J485+J489+J492</f>
        <v>17</v>
      </c>
      <c r="K465" s="590">
        <f t="shared" ref="K465:K466" ca="1" si="205">IF(I465&gt;0,J465*100/I465,0)</f>
        <v>154.54545454545453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IFERROR(__xludf.DUMMYFUNCTION("IMPORTRANGE(""https://docs.google.com/spreadsheets/d/1QqKyyYR6Q21VydFLVH3TRQUabQu_ym0Zz7PgGX0-kHA/edit?usp=sharing"",""แผน!FW87"")"),100)</f>
        <v>100</v>
      </c>
      <c r="J466" s="569">
        <f>J495+J498</f>
        <v>100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113833</v>
      </c>
      <c r="M467" s="195">
        <f t="shared" ca="1" si="206"/>
        <v>113833</v>
      </c>
      <c r="N467" s="195">
        <f t="shared" si="206"/>
        <v>89308</v>
      </c>
      <c r="O467" s="195">
        <f t="shared" ref="O467:O472" ca="1" si="207">IF(L467&gt;0,N467*100/L467,0)</f>
        <v>78.455280981789116</v>
      </c>
      <c r="P467" s="195">
        <f t="shared" ref="P467:P472" ca="1" si="208">IF(M467&gt;0,N467*100/M467,0)</f>
        <v>78.455280981789116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113833</v>
      </c>
      <c r="M469" s="93">
        <f t="shared" ca="1" si="209"/>
        <v>113833</v>
      </c>
      <c r="N469" s="93">
        <f t="shared" si="209"/>
        <v>89308</v>
      </c>
      <c r="O469" s="93">
        <f t="shared" ca="1" si="207"/>
        <v>78.455280981789116</v>
      </c>
      <c r="P469" s="93">
        <f t="shared" ca="1" si="208"/>
        <v>78.455280981789116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113833</v>
      </c>
      <c r="M470" s="498">
        <f t="shared" ca="1" si="210"/>
        <v>113833</v>
      </c>
      <c r="N470" s="498">
        <f t="shared" si="210"/>
        <v>89308</v>
      </c>
      <c r="O470" s="498">
        <f t="shared" ca="1" si="207"/>
        <v>78.455280981789116</v>
      </c>
      <c r="P470" s="498">
        <f t="shared" ca="1" si="208"/>
        <v>78.455280981789116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IFERROR(__xludf.DUMMYFUNCTION("IMPORTRANGE(""https://docs.google.com/spreadsheets/d/1QqKyyYR6Q21VydFLVH3TRQUabQu_ym0Zz7PgGX0-kHA/edit?usp=sharing"",""แผน!FS87"")"),113833)</f>
        <v>113833</v>
      </c>
      <c r="M472" s="93">
        <f ca="1">L472</f>
        <v>113833</v>
      </c>
      <c r="N472" s="93">
        <f>N473+N474+N475+N476</f>
        <v>89308</v>
      </c>
      <c r="O472" s="93">
        <f t="shared" ca="1" si="207"/>
        <v>78.455280981789116</v>
      </c>
      <c r="P472" s="93">
        <f t="shared" ca="1" si="208"/>
        <v>78.455280981789116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13053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66000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2260+1227+6768</f>
        <v>10255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IFERROR(__xludf.DUMMYFUNCTION("IMPORTRANGE(""https://docs.google.com/spreadsheets/d/1QqKyyYR6Q21VydFLVH3TRQUabQu_ym0Zz7PgGX0-kHA/edit?usp=sharing"",""แผน!FY87"")"),90)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IFERROR(__xludf.DUMMYFUNCTION("IMPORTRANGE(""https://docs.google.com/spreadsheets/d/1QqKyyYR6Q21VydFLVH3TRQUabQu_ym0Zz7PgGX0-kHA/edit?usp=sharing"",""แผน!FZ87"")"),9)</f>
        <v>9</v>
      </c>
      <c r="J485" s="215">
        <v>14</v>
      </c>
      <c r="K485" s="498">
        <f ca="1">IF(I485&gt;0,J485*100/I485,0)</f>
        <v>155.55555555555554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IFERROR(__xludf.DUMMYFUNCTION("IMPORTRANGE(""https://docs.google.com/spreadsheets/d/1QqKyyYR6Q21VydFLVH3TRQUabQu_ym0Zz7PgGX0-kHA/edit?usp=sharing"",""แผน!GA87"")"),10)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IFERROR(__xludf.DUMMYFUNCTION("IMPORTRANGE(""https://docs.google.com/spreadsheets/d/1QqKyyYR6Q21VydFLVH3TRQUabQu_ym0Zz7PgGX0-kHA/edit?usp=sharing"",""แผน!GB87"")"),1)</f>
        <v>1</v>
      </c>
      <c r="J489" s="215">
        <v>2</v>
      </c>
      <c r="K489" s="498">
        <f ca="1">IF(I489&gt;0,J489*100/I489,0)</f>
        <v>200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IFERROR(__xludf.DUMMYFUNCTION("IMPORTRANGE(""https://docs.google.com/spreadsheets/d/1QqKyyYR6Q21VydFLVH3TRQUabQu_ym0Zz7PgGX0-kHA/edit?usp=sharing"",""แผน!GC87"")"),1)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IFERROR(__xludf.DUMMYFUNCTION("IMPORTRANGE(""https://docs.google.com/spreadsheets/d/1QqKyyYR6Q21VydFLVH3TRQUabQu_ym0Zz7PgGX0-kHA/edit?usp=sharing"",""แผน!FY87"")"),90)</f>
        <v>90</v>
      </c>
      <c r="J495" s="215">
        <v>90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IFERROR(__xludf.DUMMYFUNCTION("IMPORTRANGE(""https://docs.google.com/spreadsheets/d/1QqKyyYR6Q21VydFLVH3TRQUabQu_ym0Zz7PgGX0-kHA/edit?usp=sharing"",""แผน!GA87"")"),10)</f>
        <v>10</v>
      </c>
      <c r="J498" s="215">
        <v>10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IFERROR(__xludf.DUMMYFUNCTION("IMPORTRANGE(""https://docs.google.com/spreadsheets/d/1QqKyyYR6Q21VydFLVH3TRQUabQu_ym0Zz7PgGX0-kHA/edit?usp=sharing"",""แผน!GU87"")"),0)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IFERROR(__xludf.DUMMYFUNCTION("IMPORTRANGE(""https://docs.google.com/spreadsheets/d/1QqKyyYR6Q21VydFLVH3TRQUabQu_ym0Zz7PgGX0-kHA/edit?usp=sharing"",""แผน!GV87"")"),0)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IFERROR(__xludf.DUMMYFUNCTION("IMPORTRANGE(""https://docs.google.com/spreadsheets/d/1QqKyyYR6Q21VydFLVH3TRQUabQu_ym0Zz7PgGX0-kHA/edit?usp=sharing"",""แผน!GW87"")"),0)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IFERROR(__xludf.DUMMYFUNCTION("IMPORTRANGE(""https://docs.google.com/spreadsheets/d/1QqKyyYR6Q21VydFLVH3TRQUabQu_ym0Zz7PgGX0-kHA/edit?usp=sharing"",""แผน!GX87"")"),0)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IFERROR(__xludf.DUMMYFUNCTION("IMPORTRANGE(""https://docs.google.com/spreadsheets/d/1QqKyyYR6Q21VydFLVH3TRQUabQu_ym0Zz7PgGX0-kHA/edit?usp=sharing"",""แผน!GY87"")"),0)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IFERROR(__xludf.DUMMYFUNCTION("IMPORTRANGE(""https://docs.google.com/spreadsheets/d/1QqKyyYR6Q21VydFLVH3TRQUabQu_ym0Zz7PgGX0-kHA/edit?usp=sharing"",""แผน!GZ87"")"),0)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10513</v>
      </c>
      <c r="J543" s="686">
        <f t="shared" si="235"/>
        <v>10513</v>
      </c>
      <c r="K543" s="687">
        <f t="shared" ca="1" si="234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266693</v>
      </c>
      <c r="M544" s="155">
        <f t="shared" ca="1" si="236"/>
        <v>266693</v>
      </c>
      <c r="N544" s="155">
        <f t="shared" si="236"/>
        <v>206595.3</v>
      </c>
      <c r="O544" s="155">
        <f t="shared" ref="O544:O549" ca="1" si="237">IF(L544&gt;0,N544*100/L544,0)</f>
        <v>77.465587773207389</v>
      </c>
      <c r="P544" s="155">
        <f t="shared" ref="P544:P549" ca="1" si="238">IF(M544&gt;0,N544*100/M544,0)</f>
        <v>77.465587773207389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266693</v>
      </c>
      <c r="M546" s="93">
        <f t="shared" ca="1" si="240"/>
        <v>266693</v>
      </c>
      <c r="N546" s="93">
        <f t="shared" si="240"/>
        <v>206595.3</v>
      </c>
      <c r="O546" s="93">
        <f t="shared" ca="1" si="237"/>
        <v>77.465587773207389</v>
      </c>
      <c r="P546" s="93">
        <f t="shared" ca="1" si="238"/>
        <v>77.465587773207389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266693</v>
      </c>
      <c r="M547" s="498">
        <f t="shared" ca="1" si="241"/>
        <v>266693</v>
      </c>
      <c r="N547" s="498">
        <f t="shared" si="241"/>
        <v>206595.3</v>
      </c>
      <c r="O547" s="498">
        <f t="shared" ca="1" si="237"/>
        <v>77.465587773207389</v>
      </c>
      <c r="P547" s="498">
        <f t="shared" ca="1" si="238"/>
        <v>77.465587773207389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IFERROR(__xludf.DUMMYFUNCTION("IMPORTRANGE(""https://docs.google.com/spreadsheets/d/1QqKyyYR6Q21VydFLVH3TRQUabQu_ym0Zz7PgGX0-kHA/edit?usp=sharing"",""แผน!HB87"")"),266693)</f>
        <v>266693</v>
      </c>
      <c r="M549" s="93">
        <f ca="1">L549</f>
        <v>266693</v>
      </c>
      <c r="N549" s="93">
        <f>N550+N551+N552+N553+N554</f>
        <v>206595.3</v>
      </c>
      <c r="O549" s="93">
        <f t="shared" ca="1" si="237"/>
        <v>77.465587773207389</v>
      </c>
      <c r="P549" s="93">
        <f t="shared" ca="1" si="238"/>
        <v>77.465587773207389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f>88426</f>
        <v>88426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118259.3-90</f>
        <v>118169.3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10513</v>
      </c>
      <c r="J559" s="707">
        <f t="shared" si="245"/>
        <v>10513</v>
      </c>
      <c r="K559" s="676">
        <f t="shared" ref="K559:K561" ca="1" si="246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IFERROR(__xludf.DUMMYFUNCTION("IMPORTRANGE(""https://docs.google.com/spreadsheets/d/1QqKyyYR6Q21VydFLVH3TRQUabQu_ym0Zz7PgGX0-kHA/edit?usp=sharing"",""แผน!HH87"")"),10513)</f>
        <v>10513</v>
      </c>
      <c r="J560" s="193">
        <f t="shared" ref="J560:J561" si="247">J562+J564+J566</f>
        <v>10513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IFERROR(__xludf.DUMMYFUNCTION("IMPORTRANGE(""https://docs.google.com/spreadsheets/d/1QqKyyYR6Q21VydFLVH3TRQUabQu_ym0Zz7PgGX0-kHA/edit?usp=sharing"",""แผน!HG87"")"),1831)</f>
        <v>1831</v>
      </c>
      <c r="J561" s="193">
        <f t="shared" si="247"/>
        <v>1831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9992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1746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317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204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35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IFERROR(__xludf.DUMMYFUNCTION("IMPORTRANGE(""https://docs.google.com/spreadsheets/d/1QqKyyYR6Q21VydFLVH3TRQUabQu_ym0Zz7PgGX0-kHA/edit?usp=sharing"",""แผน!HH87"")"),10513)</f>
        <v>10513</v>
      </c>
      <c r="J568" s="680">
        <f t="shared" ref="J568:J569" si="248">J570+J572+J574</f>
        <v>10513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IFERROR(__xludf.DUMMYFUNCTION("IMPORTRANGE(""https://docs.google.com/spreadsheets/d/1QqKyyYR6Q21VydFLVH3TRQUabQu_ym0Zz7PgGX0-kHA/edit?usp=sharing"",""แผน!HG87"")"),1831)</f>
        <v>1831</v>
      </c>
      <c r="J569" s="680">
        <f t="shared" si="248"/>
        <v>1831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10055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1758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199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29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259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44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IFERROR(__xludf.DUMMYFUNCTION("IMPORTRANGE(""https://docs.google.com/spreadsheets/d/1QqKyyYR6Q21VydFLVH3TRQUabQu_ym0Zz7PgGX0-kHA/edit?usp=sharing"",""แผน!HH87"")"),10513)</f>
        <v>10513</v>
      </c>
      <c r="J576" s="680">
        <f t="shared" ref="J576:J577" si="250">J578+J580+J582+J588+J590</f>
        <v>10513</v>
      </c>
      <c r="K576" s="412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IFERROR(__xludf.DUMMYFUNCTION("IMPORTRANGE(""https://docs.google.com/spreadsheets/d/1QqKyyYR6Q21VydFLVH3TRQUabQu_ym0Zz7PgGX0-kHA/edit?usp=sharing"",""แผน!HG87"")"),1831)</f>
        <v>1831</v>
      </c>
      <c r="J577" s="680">
        <f t="shared" si="250"/>
        <v>1831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10199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1777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55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10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259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44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259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44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414.92</v>
      </c>
      <c r="J592" s="707">
        <f t="shared" si="253"/>
        <v>215.97500000000002</v>
      </c>
      <c r="K592" s="676">
        <f t="shared" ref="K592:K594" ca="1" si="254">IF(I592&gt;0,J592*100/I592,0)</f>
        <v>52.052202834281317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IFERROR(__xludf.DUMMYFUNCTION("IMPORTRANGE(""https://docs.google.com/spreadsheets/d/1QqKyyYR6Q21VydFLVH3TRQUabQu_ym0Zz7PgGX0-kHA/edit?usp=sharing"",""แผน!HJ87"")"),414.92)</f>
        <v>414.92</v>
      </c>
      <c r="J593" s="193">
        <f t="shared" ref="J593:J594" si="255">J595+J603+J609</f>
        <v>215.97500000000002</v>
      </c>
      <c r="K593" s="412">
        <f t="shared" ca="1" si="254"/>
        <v>52.052202834281317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IFERROR(__xludf.DUMMYFUNCTION("IMPORTRANGE(""https://docs.google.com/spreadsheets/d/1QqKyyYR6Q21VydFLVH3TRQUabQu_ym0Zz7PgGX0-kHA/edit?usp=sharing"",""แผน!HI87"")"),44)</f>
        <v>44</v>
      </c>
      <c r="J594" s="193">
        <f t="shared" si="255"/>
        <v>19</v>
      </c>
      <c r="K594" s="412">
        <f t="shared" ca="1" si="254"/>
        <v>43.18181818181818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47.7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9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47.7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9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168.27500000000001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10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168.27500000000001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10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IFERROR(__xludf.DUMMYFUNCTION("IMPORTRANGE(""https://docs.google.com/spreadsheets/d/1QqKyyYR6Q21VydFLVH3TRQUabQu_ym0Zz7PgGX0-kHA/edit?usp=sharing"",""แผน!HL87"")"),0)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IFERROR(__xludf.DUMMYFUNCTION("IMPORTRANGE(""https://docs.google.com/spreadsheets/d/1QqKyyYR6Q21VydFLVH3TRQUabQu_ym0Zz7PgGX0-kHA/edit?usp=sharing"",""แผน!HK87"")"),0)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IFERROR(__xludf.DUMMYFUNCTION("IMPORTRANGE(""https://docs.google.com/spreadsheets/d/1QqKyyYR6Q21VydFLVH3TRQUabQu_ym0Zz7PgGX0-kHA/edit?usp=sharing"",""แผน!HR87"")"),0)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IFERROR(__xludf.DUMMYFUNCTION("IMPORTRANGE(""https://docs.google.com/spreadsheets/d/1XWAQStnk-4SwqDmLtmXYiTMKHgktTP8We1SCoS47DrQ/edit?usp=sharing"",""จัดที่ดิน!AS87"")"),0)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IFERROR(__xludf.DUMMYFUNCTION("IMPORTRANGE(""https://docs.google.com/spreadsheets/d/1XWAQStnk-4SwqDmLtmXYiTMKHgktTP8We1SCoS47DrQ/edit?usp=sharing"",""จัดที่ดิน!AT87"")"),0)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IFERROR(__xludf.DUMMYFUNCTION("IMPORTRANGE(""https://docs.google.com/spreadsheets/d/1QqKyyYR6Q21VydFLVH3TRQUabQu_ym0Zz7PgGX0-kHA/edit?usp=sharing"",""แผน!HS87"")"),0)</f>
        <v>0</v>
      </c>
      <c r="J647" s="270">
        <f ca="1">IFERROR(__xludf.DUMMYFUNCTION("IMPORTRANGE(""https://docs.google.com/spreadsheets/d/1XWAQStnk-4SwqDmLtmXYiTMKHgktTP8We1SCoS47DrQ/edit?usp=sharing"",""จัดที่ดิน!AU87"")"),0)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IFERROR(__xludf.DUMMYFUNCTION("IMPORTRANGE(""https://docs.google.com/spreadsheets/d/1XWAQStnk-4SwqDmLtmXYiTMKHgktTP8We1SCoS47DrQ/edit?usp=sharing"",""จัดที่ดิน!AV87"")"),0)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IFERROR(__xludf.DUMMYFUNCTION("IMPORTRANGE(""https://docs.google.com/spreadsheets/d/1QqKyyYR6Q21VydFLVH3TRQUabQu_ym0Zz7PgGX0-kHA/edit?usp=sharing"",""แผน!HS87"")"),0)</f>
        <v>0</v>
      </c>
      <c r="J649" s="270">
        <f ca="1">IFERROR(__xludf.DUMMYFUNCTION("IMPORTRANGE(""https://docs.google.com/spreadsheets/d/1XWAQStnk-4SwqDmLtmXYiTMKHgktTP8We1SCoS47DrQ/edit?usp=sharing"",""จัดที่ดิน!AW87"")"),0)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IFERROR(__xludf.DUMMYFUNCTION("IMPORTRANGE(""https://docs.google.com/spreadsheets/d/1XWAQStnk-4SwqDmLtmXYiTMKHgktTP8We1SCoS47DrQ/edit?usp=sharing"",""จัดที่ดิน!AX87"")"),0)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IFERROR(__xludf.DUMMYFUNCTION("IMPORTRANGE(""https://docs.google.com/spreadsheets/d/1QqKyyYR6Q21VydFLVH3TRQUabQu_ym0Zz7PgGX0-kHA/edit?usp=sharing"",""แผน!HS87"")"),0)</f>
        <v>0</v>
      </c>
      <c r="J651" s="270">
        <f ca="1">IFERROR(__xludf.DUMMYFUNCTION("IMPORTRANGE(""https://docs.google.com/spreadsheets/d/1XWAQStnk-4SwqDmLtmXYiTMKHgktTP8We1SCoS47DrQ/edit?usp=sharing"",""จัดที่ดิน!AY87"")"),0)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IFERROR(__xludf.DUMMYFUNCTION("IMPORTRANGE(""https://docs.google.com/spreadsheets/d/1XWAQStnk-4SwqDmLtmXYiTMKHgktTP8We1SCoS47DrQ/edit?usp=sharing"",""จัดที่ดิน!AZ87"")"),0)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IFERROR(__xludf.DUMMYFUNCTION("IMPORTRANGE(""https://docs.google.com/spreadsheets/d/1QqKyyYR6Q21VydFLVH3TRQUabQu_ym0Zz7PgGX0-kHA/edit?usp=sharing"",""แผน!IA87"")"),0)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IFERROR(__xludf.DUMMYFUNCTION("IMPORTRANGE(""https://docs.google.com/spreadsheets/d/1QqKyyYR6Q21VydFLVH3TRQUabQu_ym0Zz7PgGX0-kHA/edit?usp=sharing"",""แผน!HZ87"")"),0)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IFERROR(__xludf.DUMMYFUNCTION("IMPORTRANGE(""https://docs.google.com/spreadsheets/d/1QqKyyYR6Q21VydFLVH3TRQUabQu_ym0Zz7PgGX0-kHA/edit?usp=sharing"",""แผน!HZ87"")"),0)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IFERROR(__xludf.DUMMYFUNCTION("IMPORTRANGE(""https://docs.google.com/spreadsheets/d/1QqKyyYR6Q21VydFLVH3TRQUabQu_ym0Zz7PgGX0-kHA/edit?usp=sharing"",""แผน!IB87"")"),0)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IFERROR(__xludf.DUMMYFUNCTION("IMPORTRANGE(""https://docs.google.com/spreadsheets/d/1QqKyyYR6Q21VydFLVH3TRQUabQu_ym0Zz7PgGX0-kHA/edit?usp=sharing"",""แผน!IC87"")"),0)</f>
        <v>0</v>
      </c>
      <c r="J699" s="270">
        <f ca="1">IFERROR(__xludf.DUMMYFUNCTION("IMPORTRANGE(""https://docs.google.com/spreadsheets/d/1XWAQStnk-4SwqDmLtmXYiTMKHgktTP8We1SCoS47DrQ/edit?usp=sharing"",""จัดที่ดิน!BB87"")"),0)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IFERROR(__xludf.DUMMYFUNCTION("IMPORTRANGE(""https://docs.google.com/spreadsheets/d/1QqKyyYR6Q21VydFLVH3TRQUabQu_ym0Zz7PgGX0-kHA/edit?usp=sharing"",""แผน!ID87"")"),0)</f>
        <v>0</v>
      </c>
      <c r="J700" s="270">
        <f ca="1">IFERROR(__xludf.DUMMYFUNCTION("IMPORTRANGE(""https://docs.google.com/spreadsheets/d/1XWAQStnk-4SwqDmLtmXYiTMKHgktTP8We1SCoS47DrQ/edit?usp=sharing"",""จัดที่ดิน!BD87"")"),0)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IFERROR(__xludf.DUMMYFUNCTION("IMPORTRANGE(""https://docs.google.com/spreadsheets/d/1QqKyyYR6Q21VydFLVH3TRQUabQu_ym0Zz7PgGX0-kHA/edit?usp=sharing"",""แผน!IE87"")"),0)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IFERROR(__xludf.DUMMYFUNCTION("IMPORTRANGE(""https://docs.google.com/spreadsheets/d/1QqKyyYR6Q21VydFLVH3TRQUabQu_ym0Zz7PgGX0-kHA/edit?usp=sharing"",""แผน!IF87"")"),0)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IFERROR(__xludf.DUMMYFUNCTION("IMPORTRANGE(""https://docs.google.com/spreadsheets/d/1QqKyyYR6Q21VydFLVH3TRQUabQu_ym0Zz7PgGX0-kHA/edit?usp=sharing"",""แผน!IG87"")"),0)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IFERROR(__xludf.DUMMYFUNCTION("IMPORTRANGE(""https://docs.google.com/spreadsheets/d/1QqKyyYR6Q21VydFLVH3TRQUabQu_ym0Zz7PgGX0-kHA/edit?usp=sharing"",""แผน!IH87"")"),0)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IFERROR(__xludf.DUMMYFUNCTION("IMPORTRANGE(""https://docs.google.com/spreadsheets/d/1XWAQStnk-4SwqDmLtmXYiTMKHgktTP8We1SCoS47DrQ/edit?usp=sharing"",""จัดที่ดิน!BF87"")"),0)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IFERROR(__xludf.DUMMYFUNCTION("IMPORTRANGE(""https://docs.google.com/spreadsheets/d/1XWAQStnk-4SwqDmLtmXYiTMKHgktTP8We1SCoS47DrQ/edit?usp=sharing"",""จัดที่ดิน!BG87"")"),0)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IFERROR(__xludf.DUMMYFUNCTION("IMPORTRANGE(""https://docs.google.com/spreadsheets/d/1QqKyyYR6Q21VydFLVH3TRQUabQu_ym0Zz7PgGX0-kHA/edit?usp=sharing"",""แผน!II87"")"),0)</f>
        <v>0</v>
      </c>
      <c r="J720" s="270">
        <f ca="1">IFERROR(__xludf.DUMMYFUNCTION("IMPORTRANGE(""https://docs.google.com/spreadsheets/d/1XWAQStnk-4SwqDmLtmXYiTMKHgktTP8We1SCoS47DrQ/edit?usp=sharing"",""จัดที่ดิน!BH87"")"),0)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IFERROR(__xludf.DUMMYFUNCTION("IMPORTRANGE(""https://docs.google.com/spreadsheets/d/1QqKyyYR6Q21VydFLVH3TRQUabQu_ym0Zz7PgGX0-kHA/edit?usp=sharing"",""แผน!IJ87"")"),0)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IFERROR(__xludf.DUMMYFUNCTION("IMPORTRANGE(""https://docs.google.com/spreadsheets/d/1QqKyyYR6Q21VydFLVH3TRQUabQu_ym0Zz7PgGX0-kHA/edit?usp=sharing"",""แผน!IK87"")"),0)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IFERROR(__xludf.DUMMYFUNCTION("IMPORTRANGE(""https://docs.google.com/spreadsheets/d/1QqKyyYR6Q21VydFLVH3TRQUabQu_ym0Zz7PgGX0-kHA/edit?usp=sharing"",""แผน!IL87"")"),0)</f>
        <v>0</v>
      </c>
      <c r="J723" s="270">
        <f ca="1">IFERROR(__xludf.DUMMYFUNCTION("IMPORTRANGE(""https://docs.google.com/spreadsheets/d/1XWAQStnk-4SwqDmLtmXYiTMKHgktTP8We1SCoS47DrQ/edit?usp=sharing"",""จัดที่ดิน!BM87"")"),0)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IFERROR(__xludf.DUMMYFUNCTION("IMPORTRANGE(""https://docs.google.com/spreadsheets/d/1XWAQStnk-4SwqDmLtmXYiTMKHgktTP8We1SCoS47DrQ/edit?usp=sharing"",""จัดที่ดิน!BN87"")"),0)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IFERROR(__xludf.DUMMYFUNCTION("IMPORTRANGE(""https://docs.google.com/spreadsheets/d/1QqKyyYR6Q21VydFLVH3TRQUabQu_ym0Zz7PgGX0-kHA/edit?usp=sharing"",""แผน!IM87"")"),0)</f>
        <v>0</v>
      </c>
      <c r="J725" s="270">
        <f ca="1">IFERROR(__xludf.DUMMYFUNCTION("IMPORTRANGE(""https://docs.google.com/spreadsheets/d/1XWAQStnk-4SwqDmLtmXYiTMKHgktTP8We1SCoS47DrQ/edit?usp=sharing"",""จัดที่ดิน!BO87"")"),0)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IFERROR(__xludf.DUMMYFUNCTION("IMPORTRANGE(""https://docs.google.com/spreadsheets/d/1QqKyyYR6Q21VydFLVH3TRQUabQu_ym0Zz7PgGX0-kHA/edit?usp=sharing"",""แผน!IN87"")"),0)</f>
        <v>0</v>
      </c>
      <c r="J726" s="270">
        <f ca="1">IFERROR(__xludf.DUMMYFUNCTION("IMPORTRANGE(""https://docs.google.com/spreadsheets/d/1XWAQStnk-4SwqDmLtmXYiTMKHgktTP8We1SCoS47DrQ/edit?usp=sharing"",""จัดที่ดิน!BR87"")"),0)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IFERROR(__xludf.DUMMYFUNCTION("IMPORTRANGE(""https://docs.google.com/spreadsheets/d/1XWAQStnk-4SwqDmLtmXYiTMKHgktTP8We1SCoS47DrQ/edit?usp=sharing"",""จัดที่ดิน!BS87"")"),0)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IFERROR(__xludf.DUMMYFUNCTION("IMPORTRANGE(""https://docs.google.com/spreadsheets/d/1QqKyyYR6Q21VydFLVH3TRQUabQu_ym0Zz7PgGX0-kHA/edit?usp=sharing"",""แผน!IO87"")"),0)</f>
        <v>0</v>
      </c>
      <c r="J728" s="270">
        <f ca="1">IFERROR(__xludf.DUMMYFUNCTION("IMPORTRANGE(""https://docs.google.com/spreadsheets/d/1XWAQStnk-4SwqDmLtmXYiTMKHgktTP8We1SCoS47DrQ/edit?usp=sharing"",""จัดที่ดิน!BT87"")"),0)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IFERROR(__xludf.DUMMYFUNCTION("IMPORTRANGE(""https://docs.google.com/spreadsheets/d/1QqKyyYR6Q21VydFLVH3TRQUabQu_ym0Zz7PgGX0-kHA/edit?usp=sharing"",""แผน!IP87"")"),0)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IFERROR(__xludf.DUMMYFUNCTION("IMPORTRANGE(""https://docs.google.com/spreadsheets/d/1QqKyyYR6Q21VydFLVH3TRQUabQu_ym0Zz7PgGX0-kHA/edit?usp=sharing"",""แผน!JN87"")"),0)</f>
        <v>0</v>
      </c>
      <c r="J800" s="184">
        <f ca="1">IFERROR(__xludf.DUMMYFUNCTION("IMPORTRANGE(""https://docs.google.com/spreadsheets/d/1MaWodYyGHDf7siQLGxnXhG4mBNTNIuy296niS2xXulU/edit?usp=sharing"",""RTK!H87"")"),0)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IFERROR(__xludf.DUMMYFUNCTION("IMPORTRANGE(""https://docs.google.com/spreadsheets/d/1MaWodYyGHDf7siQLGxnXhG4mBNTNIuy296niS2xXulU/edit?usp=sharing"",""RTK!I87"")"),0)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341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IFERROR(__xludf.DUMMYFUNCTION("IMPORTRANGE(""https://docs.google.com/spreadsheets/d/19vJNZY_5yjcGF2XGBMNZRCAIB0Kwfpjp8YEOfu-bneM/edit?usp=sharing"",""งานกองทุน!D87"")"),378474.21)</f>
        <v>378474.21</v>
      </c>
      <c r="J821" s="270">
        <f ca="1">IFERROR(__xludf.DUMMYFUNCTION("IMPORTRANGE(""https://docs.google.com/spreadsheets/d/19vJNZY_5yjcGF2XGBMNZRCAIB0Kwfpjp8YEOfu-bneM/edit?usp=sharing"",""งานกองทุน!F87"")"),367308.44)</f>
        <v>367308.44</v>
      </c>
      <c r="K821" s="498">
        <f t="shared" ref="K821:K828" ca="1" si="335">IF(I821&gt;0,J821*100/I821,0)</f>
        <v>97.04979369664315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IFERROR(__xludf.DUMMYFUNCTION("IMPORTRANGE(""https://docs.google.com/spreadsheets/d/19vJNZY_5yjcGF2XGBMNZRCAIB0Kwfpjp8YEOfu-bneM/edit?usp=sharing"",""งานกองทุน!C87"")"),42)</f>
        <v>42</v>
      </c>
      <c r="J822" s="270">
        <f ca="1">IFERROR(__xludf.DUMMYFUNCTION("IMPORTRANGE(""https://docs.google.com/spreadsheets/d/19vJNZY_5yjcGF2XGBMNZRCAIB0Kwfpjp8YEOfu-bneM/edit?usp=sharing"",""งานกองทุน!E87"")"),40)</f>
        <v>40</v>
      </c>
      <c r="K822" s="498">
        <f t="shared" ca="1" si="335"/>
        <v>95.238095238095241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IFERROR(__xludf.DUMMYFUNCTION("IMPORTRANGE(""https://docs.google.com/spreadsheets/d/19vJNZY_5yjcGF2XGBMNZRCAIB0Kwfpjp8YEOfu-bneM/edit?usp=sharing"",""งานกองทุน!I87"")"),9790.63)</f>
        <v>9790.6299999999992</v>
      </c>
      <c r="J823" s="270">
        <f ca="1">IFERROR(__xludf.DUMMYFUNCTION("IMPORTRANGE(""https://docs.google.com/spreadsheets/d/19vJNZY_5yjcGF2XGBMNZRCAIB0Kwfpjp8YEOfu-bneM/edit?usp=sharing"",""งานกองทุน!K87"")"),20790.63)</f>
        <v>20790.63</v>
      </c>
      <c r="K823" s="498">
        <f t="shared" ca="1" si="335"/>
        <v>212.3523205350422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IFERROR(__xludf.DUMMYFUNCTION("IMPORTRANGE(""https://docs.google.com/spreadsheets/d/19vJNZY_5yjcGF2XGBMNZRCAIB0Kwfpjp8YEOfu-bneM/edit?usp=sharing"",""งานกองทุน!H87"")"),1)</f>
        <v>1</v>
      </c>
      <c r="J824" s="270">
        <f ca="1">IFERROR(__xludf.DUMMYFUNCTION("IMPORTRANGE(""https://docs.google.com/spreadsheets/d/19vJNZY_5yjcGF2XGBMNZRCAIB0Kwfpjp8YEOfu-bneM/edit?usp=sharing"",""งานกองทุน!J87"")"),2)</f>
        <v>2</v>
      </c>
      <c r="K824" s="498">
        <f t="shared" ca="1" si="335"/>
        <v>200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IFERROR(__xludf.DUMMYFUNCTION("IMPORTRANGE(""https://docs.google.com/spreadsheets/d/19vJNZY_5yjcGF2XGBMNZRCAIB0Kwfpjp8YEOfu-bneM/edit?usp=sharing"",""งานกองทุน!N87"")"),0)</f>
        <v>0</v>
      </c>
      <c r="J825" s="270">
        <f ca="1">IFERROR(__xludf.DUMMYFUNCTION("IMPORTRANGE(""https://docs.google.com/spreadsheets/d/19vJNZY_5yjcGF2XGBMNZRCAIB0Kwfpjp8YEOfu-bneM/edit?usp=sharing"",""งานกองทุน!P87"")"),0)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IFERROR(__xludf.DUMMYFUNCTION("IMPORTRANGE(""https://docs.google.com/spreadsheets/d/19vJNZY_5yjcGF2XGBMNZRCAIB0Kwfpjp8YEOfu-bneM/edit?usp=sharing"",""งานกองทุน!M87"")"),0)</f>
        <v>0</v>
      </c>
      <c r="J826" s="270">
        <f ca="1">IFERROR(__xludf.DUMMYFUNCTION("IMPORTRANGE(""https://docs.google.com/spreadsheets/d/19vJNZY_5yjcGF2XGBMNZRCAIB0Kwfpjp8YEOfu-bneM/edit?usp=sharing"",""งานกองทุน!O87"")"),0)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IFERROR(__xludf.DUMMYFUNCTION("IMPORTRANGE(""https://docs.google.com/spreadsheets/d/19vJNZY_5yjcGF2XGBMNZRCAIB0Kwfpjp8YEOfu-bneM/edit?usp=sharing"",""งานกองทุน!S87"")"),780000)</f>
        <v>780000</v>
      </c>
      <c r="J827" s="270">
        <f ca="1">IFERROR(__xludf.DUMMYFUNCTION("IMPORTRANGE(""https://docs.google.com/spreadsheets/d/19vJNZY_5yjcGF2XGBMNZRCAIB0Kwfpjp8YEOfu-bneM/edit?usp=sharing"",""งานกองทุน!U87"")"),570000)</f>
        <v>570000</v>
      </c>
      <c r="K827" s="498">
        <f t="shared" ca="1" si="335"/>
        <v>73.07692307692308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IFERROR(__xludf.DUMMYFUNCTION("IMPORTRANGE(""https://docs.google.com/spreadsheets/d/19vJNZY_5yjcGF2XGBMNZRCAIB0Kwfpjp8YEOfu-bneM/edit?usp=sharing"",""งานกองทุน!R87"")"),31)</f>
        <v>31</v>
      </c>
      <c r="J828" s="505">
        <f ca="1">IFERROR(__xludf.DUMMYFUNCTION("IMPORTRANGE(""https://docs.google.com/spreadsheets/d/19vJNZY_5yjcGF2XGBMNZRCAIB0Kwfpjp8YEOfu-bneM/edit?usp=sharing"",""งานกองทุน!T87"")"),19)</f>
        <v>19</v>
      </c>
      <c r="K828" s="506">
        <f t="shared" ca="1" si="335"/>
        <v>61.29032258064516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64238-4B20-47A8-B833-5BF007D164F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353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7067032</v>
      </c>
      <c r="M8" s="22">
        <f t="shared" ca="1" si="0"/>
        <v>7590236</v>
      </c>
      <c r="N8" s="22">
        <f t="shared" ca="1" si="0"/>
        <v>6316754.5700000003</v>
      </c>
      <c r="O8" s="22">
        <f t="shared" ref="O8:O16" ca="1" si="1">IF(L8&gt;0,N8*100/L8,0)</f>
        <v>89.383415413995579</v>
      </c>
      <c r="P8" s="22">
        <f t="shared" ref="P8:P16" ca="1" si="2">IF(M8&gt;0,N8*100/M8,0)</f>
        <v>83.22211022160576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7067032</v>
      </c>
      <c r="M10" s="30">
        <f t="shared" ca="1" si="3"/>
        <v>7590236</v>
      </c>
      <c r="N10" s="30">
        <f t="shared" ca="1" si="3"/>
        <v>6316754.5700000003</v>
      </c>
      <c r="O10" s="30">
        <f t="shared" ca="1" si="1"/>
        <v>89.383415413995579</v>
      </c>
      <c r="P10" s="30">
        <f t="shared" ca="1" si="2"/>
        <v>83.22211022160576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6598432</v>
      </c>
      <c r="M11" s="498">
        <f t="shared" ca="1" si="4"/>
        <v>7154236</v>
      </c>
      <c r="N11" s="498">
        <f t="shared" ca="1" si="4"/>
        <v>5880754.5700000003</v>
      </c>
      <c r="O11" s="498">
        <f t="shared" ca="1" si="1"/>
        <v>89.123515556423101</v>
      </c>
      <c r="P11" s="498">
        <f t="shared" ca="1" si="2"/>
        <v>82.199616702608083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6598432</v>
      </c>
      <c r="M13" s="93">
        <f t="shared" ca="1" si="5"/>
        <v>7154236</v>
      </c>
      <c r="N13" s="93">
        <f t="shared" ca="1" si="5"/>
        <v>5880754.5700000003</v>
      </c>
      <c r="O13" s="93">
        <f t="shared" ca="1" si="1"/>
        <v>89.123515556423101</v>
      </c>
      <c r="P13" s="93">
        <f t="shared" ca="1" si="2"/>
        <v>82.199616702608083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468600</v>
      </c>
      <c r="M14" s="498">
        <f t="shared" ca="1" si="6"/>
        <v>436000</v>
      </c>
      <c r="N14" s="498">
        <f t="shared" ca="1" si="6"/>
        <v>436000</v>
      </c>
      <c r="O14" s="498">
        <f t="shared" ca="1" si="1"/>
        <v>93.043107127614164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468600</v>
      </c>
      <c r="M16" s="52">
        <f t="shared" ca="1" si="7"/>
        <v>436000</v>
      </c>
      <c r="N16" s="52">
        <f t="shared" ca="1" si="7"/>
        <v>436000</v>
      </c>
      <c r="O16" s="52">
        <f t="shared" ca="1" si="1"/>
        <v>93.043107127614164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4971944</v>
      </c>
      <c r="M18" s="22">
        <f t="shared" ca="1" si="8"/>
        <v>5095453</v>
      </c>
      <c r="N18" s="22">
        <f t="shared" ca="1" si="8"/>
        <v>4102903.2199999997</v>
      </c>
      <c r="O18" s="22">
        <f t="shared" ref="O18:O26" ca="1" si="9">IF(L18&gt;0,N18*100/L18,0)</f>
        <v>82.521106834670704</v>
      </c>
      <c r="P18" s="22">
        <f t="shared" ref="P18:P26" ca="1" si="10">IF(M18&gt;0,N18*100/M18,0)</f>
        <v>80.520872628989025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4971944</v>
      </c>
      <c r="M20" s="30">
        <f t="shared" ca="1" si="11"/>
        <v>5095453</v>
      </c>
      <c r="N20" s="30">
        <f t="shared" ca="1" si="11"/>
        <v>4102903.2199999997</v>
      </c>
      <c r="O20" s="30">
        <f t="shared" ca="1" si="9"/>
        <v>82.521106834670704</v>
      </c>
      <c r="P20" s="30">
        <f t="shared" ca="1" si="10"/>
        <v>80.520872628989025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4503344</v>
      </c>
      <c r="M21" s="498">
        <f t="shared" ca="1" si="12"/>
        <v>4659453</v>
      </c>
      <c r="N21" s="498">
        <f t="shared" ca="1" si="12"/>
        <v>3666903.2199999997</v>
      </c>
      <c r="O21" s="498">
        <f t="shared" ca="1" si="9"/>
        <v>81.426229486355027</v>
      </c>
      <c r="P21" s="498">
        <f t="shared" ca="1" si="10"/>
        <v>78.698148044416371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4503344</v>
      </c>
      <c r="M23" s="93">
        <f t="shared" ca="1" si="13"/>
        <v>4659453</v>
      </c>
      <c r="N23" s="93">
        <f t="shared" ca="1" si="13"/>
        <v>3666903.2199999997</v>
      </c>
      <c r="O23" s="93">
        <f t="shared" ca="1" si="9"/>
        <v>81.426229486355027</v>
      </c>
      <c r="P23" s="93">
        <f t="shared" ca="1" si="10"/>
        <v>78.698148044416371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468600</v>
      </c>
      <c r="M24" s="498">
        <f t="shared" ca="1" si="14"/>
        <v>436000</v>
      </c>
      <c r="N24" s="498">
        <f t="shared" ca="1" si="14"/>
        <v>436000</v>
      </c>
      <c r="O24" s="498">
        <f t="shared" ca="1" si="9"/>
        <v>93.043107127614164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468600</v>
      </c>
      <c r="M26" s="52">
        <f t="shared" ca="1" si="15"/>
        <v>436000</v>
      </c>
      <c r="N26" s="52">
        <f t="shared" ca="1" si="15"/>
        <v>436000</v>
      </c>
      <c r="O26" s="52">
        <f t="shared" ca="1" si="9"/>
        <v>93.043107127614164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2095088</v>
      </c>
      <c r="M28" s="22">
        <f t="shared" ca="1" si="16"/>
        <v>2494783</v>
      </c>
      <c r="N28" s="22">
        <f t="shared" si="16"/>
        <v>2213851.35</v>
      </c>
      <c r="O28" s="22">
        <f t="shared" ref="O28:O37" ca="1" si="17">IF(L28&gt;0,N28*100/L28,0)</f>
        <v>105.66865687741995</v>
      </c>
      <c r="P28" s="22">
        <f t="shared" ref="P28:P37" ca="1" si="18">IF(M28&gt;0,N28*100/M28,0)</f>
        <v>88.739235035672436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2095088</v>
      </c>
      <c r="M30" s="30">
        <f t="shared" ca="1" si="19"/>
        <v>2494783</v>
      </c>
      <c r="N30" s="30">
        <f t="shared" si="19"/>
        <v>2213851.35</v>
      </c>
      <c r="O30" s="30">
        <f t="shared" ca="1" si="17"/>
        <v>105.66865687741995</v>
      </c>
      <c r="P30" s="30">
        <f t="shared" ca="1" si="18"/>
        <v>88.739235035672436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2095088</v>
      </c>
      <c r="M31" s="498">
        <f t="shared" ca="1" si="20"/>
        <v>2494783</v>
      </c>
      <c r="N31" s="498">
        <f t="shared" si="20"/>
        <v>2213851.35</v>
      </c>
      <c r="O31" s="498">
        <f t="shared" ca="1" si="17"/>
        <v>105.66865687741995</v>
      </c>
      <c r="P31" s="498">
        <f t="shared" ca="1" si="18"/>
        <v>88.739235035672436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2095088</v>
      </c>
      <c r="M33" s="93">
        <f t="shared" ca="1" si="21"/>
        <v>2494783</v>
      </c>
      <c r="N33" s="93">
        <f t="shared" si="21"/>
        <v>2213851.35</v>
      </c>
      <c r="O33" s="93">
        <f t="shared" ca="1" si="17"/>
        <v>105.66865687741995</v>
      </c>
      <c r="P33" s="93">
        <f t="shared" ca="1" si="18"/>
        <v>88.739235035672436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4971944</v>
      </c>
      <c r="M37" s="858">
        <f t="shared" ca="1" si="24"/>
        <v>5095453</v>
      </c>
      <c r="N37" s="858">
        <f t="shared" ca="1" si="24"/>
        <v>4102903.2199999997</v>
      </c>
      <c r="O37" s="858">
        <f t="shared" ca="1" si="17"/>
        <v>82.521106834670704</v>
      </c>
      <c r="P37" s="858">
        <f t="shared" ca="1" si="18"/>
        <v>80.520872628989025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675169</v>
      </c>
      <c r="M41" s="85">
        <f t="shared" ca="1" si="25"/>
        <v>704728</v>
      </c>
      <c r="N41" s="85">
        <f t="shared" ca="1" si="25"/>
        <v>583705</v>
      </c>
      <c r="O41" s="85">
        <f t="shared" ref="O41:O49" ca="1" si="26">IF(L41&gt;0,N41*100/L41,0)</f>
        <v>86.453169502746718</v>
      </c>
      <c r="P41" s="85">
        <f t="shared" ref="P41:P49" ca="1" si="27">IF(M41&gt;0,N41*100/M41,0)</f>
        <v>82.826991406613615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675169</v>
      </c>
      <c r="M43" s="92">
        <f t="shared" ca="1" si="28"/>
        <v>704728</v>
      </c>
      <c r="N43" s="92">
        <f t="shared" ca="1" si="28"/>
        <v>583705</v>
      </c>
      <c r="O43" s="92">
        <f t="shared" ca="1" si="26"/>
        <v>86.453169502746718</v>
      </c>
      <c r="P43" s="92">
        <f t="shared" ca="1" si="27"/>
        <v>82.826991406613615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675169</v>
      </c>
      <c r="M44" s="498">
        <f t="shared" ca="1" si="29"/>
        <v>704728</v>
      </c>
      <c r="N44" s="498">
        <f t="shared" ca="1" si="29"/>
        <v>583705</v>
      </c>
      <c r="O44" s="498">
        <f t="shared" ca="1" si="26"/>
        <v>86.453169502746718</v>
      </c>
      <c r="P44" s="498">
        <f t="shared" ca="1" si="27"/>
        <v>82.826991406613615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IFERROR(__xludf.DUMMYFUNCTION("IMPORTRANGE(""https://docs.google.com/spreadsheets/d/1MeEWN-I1oV_STSDYn1IFDPWt_1FKiwhDph83XaGc0o0/edit?usp=sharing"",""งบพรบ!M88"")"),675169)</f>
        <v>675169</v>
      </c>
      <c r="M46" s="93">
        <f ca="1">IFERROR(__xludf.DUMMYFUNCTION("IMPORTRANGE(""https://docs.google.com/spreadsheets/d/1MeEWN-I1oV_STSDYn1IFDPWt_1FKiwhDph83XaGc0o0/edit?usp=sharing"",""งบพรบ!R88"")"),704728)</f>
        <v>704728</v>
      </c>
      <c r="N46" s="93">
        <f ca="1">IFERROR(__xludf.DUMMYFUNCTION("IMPORTRANGE(""https://docs.google.com/spreadsheets/d/1MeEWN-I1oV_STSDYn1IFDPWt_1FKiwhDph83XaGc0o0/edit?usp=sharing"",""งบพรบ!T88"")"),583705)</f>
        <v>583705</v>
      </c>
      <c r="O46" s="93">
        <f t="shared" ca="1" si="26"/>
        <v>86.453169502746718</v>
      </c>
      <c r="P46" s="93">
        <f t="shared" ca="1" si="27"/>
        <v>82.826991406613615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IFERROR(__xludf.DUMMYFUNCTION("IMPORTRANGE(""https://docs.google.com/spreadsheets/d/1MeEWN-I1oV_STSDYn1IFDPWt_1FKiwhDph83XaGc0o0/edit?usp=sharing"",""งบพรบ!P88"")"),0)</f>
        <v>0</v>
      </c>
      <c r="M49" s="52">
        <f ca="1">IFERROR(__xludf.DUMMYFUNCTION("IMPORTRANGE(""https://docs.google.com/spreadsheets/d/1MeEWN-I1oV_STSDYn1IFDPWt_1FKiwhDph83XaGc0o0/edit?usp=sharing"",""งบพรบ!S88"")"),0)</f>
        <v>0</v>
      </c>
      <c r="N49" s="52">
        <f ca="1">IFERROR(__xludf.DUMMYFUNCTION("IMPORTRANGE(""https://docs.google.com/spreadsheets/d/1MeEWN-I1oV_STSDYn1IFDPWt_1FKiwhDph83XaGc0o0/edit?usp=sharing"",""งบพรบ!U88"")"),0)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643400</v>
      </c>
      <c r="M53" s="116">
        <f t="shared" ca="1" si="31"/>
        <v>646000</v>
      </c>
      <c r="N53" s="116">
        <f t="shared" ca="1" si="31"/>
        <v>586783.12</v>
      </c>
      <c r="O53" s="116">
        <f t="shared" ref="O53:O61" ca="1" si="32">IF(L53&gt;0,N53*100/L53,0)</f>
        <v>91.200360584395398</v>
      </c>
      <c r="P53" s="116">
        <f t="shared" ref="P53:P61" ca="1" si="33">IF(M53&gt;0,N53*100/M53,0)</f>
        <v>90.833300309597519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643400</v>
      </c>
      <c r="M55" s="123">
        <f t="shared" ca="1" si="34"/>
        <v>646000</v>
      </c>
      <c r="N55" s="123">
        <f t="shared" ca="1" si="34"/>
        <v>586783.12</v>
      </c>
      <c r="O55" s="123">
        <f t="shared" ca="1" si="32"/>
        <v>91.200360584395398</v>
      </c>
      <c r="P55" s="123">
        <f t="shared" ca="1" si="33"/>
        <v>90.833300309597519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532400</v>
      </c>
      <c r="M56" s="498">
        <f t="shared" ca="1" si="35"/>
        <v>540400</v>
      </c>
      <c r="N56" s="498">
        <f t="shared" ca="1" si="35"/>
        <v>481183.12</v>
      </c>
      <c r="O56" s="498">
        <f t="shared" ca="1" si="32"/>
        <v>90.38</v>
      </c>
      <c r="P56" s="498">
        <f t="shared" ca="1" si="33"/>
        <v>89.042028127313102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IFERROR(__xludf.DUMMYFUNCTION("IMPORTRANGE(""https://docs.google.com/spreadsheets/d/1MeEWN-I1oV_STSDYn1IFDPWt_1FKiwhDph83XaGc0o0/edit?usp=sharing"",""งบพรบ!W88"")"),532400)</f>
        <v>532400</v>
      </c>
      <c r="M58" s="93">
        <f ca="1">IFERROR(__xludf.DUMMYFUNCTION("IMPORTRANGE(""https://docs.google.com/spreadsheets/d/1MeEWN-I1oV_STSDYn1IFDPWt_1FKiwhDph83XaGc0o0/edit?usp=sharing"",""งบพรบ!AB88"")"),540400)</f>
        <v>540400</v>
      </c>
      <c r="N58" s="93">
        <f ca="1">IFERROR(__xludf.DUMMYFUNCTION("IMPORTRANGE(""https://docs.google.com/spreadsheets/d/1MeEWN-I1oV_STSDYn1IFDPWt_1FKiwhDph83XaGc0o0/edit?usp=sharing"",""งบพรบ!AD88"")"),481183.12)</f>
        <v>481183.12</v>
      </c>
      <c r="O58" s="93">
        <f t="shared" ca="1" si="32"/>
        <v>90.38</v>
      </c>
      <c r="P58" s="93">
        <f t="shared" ca="1" si="33"/>
        <v>89.042028127313102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111000</v>
      </c>
      <c r="M59" s="498">
        <f t="shared" ca="1" si="36"/>
        <v>105600</v>
      </c>
      <c r="N59" s="498">
        <f t="shared" ca="1" si="36"/>
        <v>105600</v>
      </c>
      <c r="O59" s="498">
        <f t="shared" ca="1" si="32"/>
        <v>95.13513513513513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IFERROR(__xludf.DUMMYFUNCTION("IMPORTRANGE(""https://docs.google.com/spreadsheets/d/1MeEWN-I1oV_STSDYn1IFDPWt_1FKiwhDph83XaGc0o0/edit?usp=sharing"",""งบพรบ!Z88"")"),111000)</f>
        <v>111000</v>
      </c>
      <c r="M61" s="52">
        <f ca="1">IFERROR(__xludf.DUMMYFUNCTION("IMPORTRANGE(""https://docs.google.com/spreadsheets/d/1MeEWN-I1oV_STSDYn1IFDPWt_1FKiwhDph83XaGc0o0/edit?usp=sharing"",""งบพรบ!AC88"")"),105600)</f>
        <v>105600</v>
      </c>
      <c r="N61" s="52">
        <f ca="1">IFERROR(__xludf.DUMMYFUNCTION("IMPORTRANGE(""https://docs.google.com/spreadsheets/d/1MeEWN-I1oV_STSDYn1IFDPWt_1FKiwhDph83XaGc0o0/edit?usp=sharing"",""งบพรบ!AE88"")"),105600)</f>
        <v>105600</v>
      </c>
      <c r="O61" s="52">
        <f t="shared" ca="1" si="32"/>
        <v>95.13513513513513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384000</v>
      </c>
      <c r="M66" s="155">
        <f t="shared" ca="1" si="39"/>
        <v>384000</v>
      </c>
      <c r="N66" s="155">
        <f t="shared" ca="1" si="39"/>
        <v>293460.76</v>
      </c>
      <c r="O66" s="155">
        <f t="shared" ref="O66:O74" ca="1" si="40">IF(L66&gt;0,N66*100/L66,0)</f>
        <v>76.422072916666664</v>
      </c>
      <c r="P66" s="155">
        <f t="shared" ref="P66:P74" ca="1" si="41">IF(M66&gt;0,N66*100/M66,0)</f>
        <v>76.422072916666664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384000</v>
      </c>
      <c r="M68" s="93">
        <f t="shared" ca="1" si="42"/>
        <v>384000</v>
      </c>
      <c r="N68" s="93">
        <f t="shared" ca="1" si="42"/>
        <v>293460.76</v>
      </c>
      <c r="O68" s="93">
        <f t="shared" ca="1" si="40"/>
        <v>76.422072916666664</v>
      </c>
      <c r="P68" s="93">
        <f t="shared" ca="1" si="41"/>
        <v>76.422072916666664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384000</v>
      </c>
      <c r="M69" s="498">
        <f t="shared" ca="1" si="43"/>
        <v>384000</v>
      </c>
      <c r="N69" s="498">
        <f t="shared" ca="1" si="43"/>
        <v>293460.76</v>
      </c>
      <c r="O69" s="498">
        <f t="shared" ca="1" si="40"/>
        <v>76.422072916666664</v>
      </c>
      <c r="P69" s="498">
        <f t="shared" ca="1" si="41"/>
        <v>76.422072916666664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IFERROR(__xludf.DUMMYFUNCTION("IMPORTRANGE(""https://docs.google.com/spreadsheets/d/1MeEWN-I1oV_STSDYn1IFDPWt_1FKiwhDph83XaGc0o0/edit?usp=sharing"",""งบพรบ!AG88"")"),384000)</f>
        <v>384000</v>
      </c>
      <c r="M71" s="93">
        <f ca="1">IFERROR(__xludf.DUMMYFUNCTION("IMPORTRANGE(""https://docs.google.com/spreadsheets/d/1MeEWN-I1oV_STSDYn1IFDPWt_1FKiwhDph83XaGc0o0/edit?usp=sharing"",""งบพรบ!AL88"")"),384000)</f>
        <v>384000</v>
      </c>
      <c r="N71" s="93">
        <f ca="1">IFERROR(__xludf.DUMMYFUNCTION("IMPORTRANGE(""https://docs.google.com/spreadsheets/d/1MeEWN-I1oV_STSDYn1IFDPWt_1FKiwhDph83XaGc0o0/edit?usp=sharing"",""งบพรบ!AN88"")"),293460.76)</f>
        <v>293460.76</v>
      </c>
      <c r="O71" s="93">
        <f t="shared" ca="1" si="40"/>
        <v>76.422072916666664</v>
      </c>
      <c r="P71" s="93">
        <f t="shared" ca="1" si="41"/>
        <v>76.422072916666664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IFERROR(__xludf.DUMMYFUNCTION("IMPORTRANGE(""https://docs.google.com/spreadsheets/d/1MeEWN-I1oV_STSDYn1IFDPWt_1FKiwhDph83XaGc0o0/edit?usp=sharing"",""งบพรบ!AJ88"")"),0)</f>
        <v>0</v>
      </c>
      <c r="M74" s="93">
        <f ca="1">IFERROR(__xludf.DUMMYFUNCTION("IMPORTRANGE(""https://docs.google.com/spreadsheets/d/1MeEWN-I1oV_STSDYn1IFDPWt_1FKiwhDph83XaGc0o0/edit?usp=sharing"",""งบพรบ!AM88"")"),0)</f>
        <v>0</v>
      </c>
      <c r="N74" s="93">
        <f ca="1">IFERROR(__xludf.DUMMYFUNCTION("IMPORTRANGE(""https://docs.google.com/spreadsheets/d/1MeEWN-I1oV_STSDYn1IFDPWt_1FKiwhDph83XaGc0o0/edit?usp=sharing"",""งบพรบ!AO88"")"),0)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IFERROR(__xludf.DUMMYFUNCTION("IMPORTRANGE(""https://docs.google.com/spreadsheets/d/1QqKyyYR6Q21VydFLVH3TRQUabQu_ym0Zz7PgGX0-kHA/edit?usp=sharing"",""แผน!H88"")"),1)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IFERROR(__xludf.DUMMYFUNCTION("IMPORTRANGE(""https://docs.google.com/spreadsheets/d/1QqKyyYR6Q21VydFLVH3TRQUabQu_ym0Zz7PgGX0-kHA/edit?usp=sharing"",""แผน!I88"")"),30)</f>
        <v>30</v>
      </c>
      <c r="J79" s="215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IFERROR(__xludf.DUMMYFUNCTION("IMPORTRANGE(""https://docs.google.com/spreadsheets/d/1QqKyyYR6Q21VydFLVH3TRQUabQu_ym0Zz7PgGX0-kHA/edit?usp=sharing"",""แผน!J88"")"),1)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56040</v>
      </c>
      <c r="M88" s="155">
        <f t="shared" ca="1" si="49"/>
        <v>56040</v>
      </c>
      <c r="N88" s="155">
        <f t="shared" ca="1" si="49"/>
        <v>51190</v>
      </c>
      <c r="O88" s="155">
        <f t="shared" ref="O88:O96" ca="1" si="50">IF(L88&gt;0,N88*100/L88,0)</f>
        <v>91.345467523197712</v>
      </c>
      <c r="P88" s="155">
        <f t="shared" ref="P88:P96" ca="1" si="51">IF(M88&gt;0,N88*100/M88,0)</f>
        <v>91.345467523197712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56040</v>
      </c>
      <c r="M90" s="93">
        <f t="shared" ca="1" si="52"/>
        <v>56040</v>
      </c>
      <c r="N90" s="93">
        <f t="shared" ca="1" si="52"/>
        <v>51190</v>
      </c>
      <c r="O90" s="93">
        <f t="shared" ca="1" si="50"/>
        <v>91.345467523197712</v>
      </c>
      <c r="P90" s="93">
        <f t="shared" ca="1" si="51"/>
        <v>91.345467523197712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56040</v>
      </c>
      <c r="M91" s="498">
        <f t="shared" ca="1" si="53"/>
        <v>56040</v>
      </c>
      <c r="N91" s="498">
        <f t="shared" ca="1" si="53"/>
        <v>51190</v>
      </c>
      <c r="O91" s="498">
        <f t="shared" ca="1" si="50"/>
        <v>91.345467523197712</v>
      </c>
      <c r="P91" s="498">
        <f t="shared" ca="1" si="51"/>
        <v>91.345467523197712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IFERROR(__xludf.DUMMYFUNCTION("IMPORTRANGE(""https://docs.google.com/spreadsheets/d/1MeEWN-I1oV_STSDYn1IFDPWt_1FKiwhDph83XaGc0o0/edit?usp=sharing"",""งบพรบ!AQ88"")"),56040)</f>
        <v>56040</v>
      </c>
      <c r="M93" s="93">
        <f ca="1">IFERROR(__xludf.DUMMYFUNCTION("IMPORTRANGE(""https://docs.google.com/spreadsheets/d/1MeEWN-I1oV_STSDYn1IFDPWt_1FKiwhDph83XaGc0o0/edit?usp=sharing"",""งบพรบ!AV88"")"),56040)</f>
        <v>56040</v>
      </c>
      <c r="N93" s="93">
        <f ca="1">IFERROR(__xludf.DUMMYFUNCTION("IMPORTRANGE(""https://docs.google.com/spreadsheets/d/1MeEWN-I1oV_STSDYn1IFDPWt_1FKiwhDph83XaGc0o0/edit?usp=sharing"",""งบพรบ!AX88"")"),51190)</f>
        <v>51190</v>
      </c>
      <c r="O93" s="93">
        <f t="shared" ca="1" si="50"/>
        <v>91.345467523197712</v>
      </c>
      <c r="P93" s="93">
        <f t="shared" ca="1" si="51"/>
        <v>91.345467523197712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IFERROR(__xludf.DUMMYFUNCTION("IMPORTRANGE(""https://docs.google.com/spreadsheets/d/1MeEWN-I1oV_STSDYn1IFDPWt_1FKiwhDph83XaGc0o0/edit?usp=sharing"",""งบพรบ!AT88"")"),0)</f>
        <v>0</v>
      </c>
      <c r="M96" s="93">
        <f ca="1">IFERROR(__xludf.DUMMYFUNCTION("IMPORTRANGE(""https://docs.google.com/spreadsheets/d/1MeEWN-I1oV_STSDYn1IFDPWt_1FKiwhDph83XaGc0o0/edit?usp=sharing"",""งบพรบ!AW88"")"),0)</f>
        <v>0</v>
      </c>
      <c r="N96" s="93">
        <f ca="1">IFERROR(__xludf.DUMMYFUNCTION("IMPORTRANGE(""https://docs.google.com/spreadsheets/d/1MeEWN-I1oV_STSDYn1IFDPWt_1FKiwhDph83XaGc0o0/edit?usp=sharing"",""งบพรบ!AY88"")"),0)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IFERROR(__xludf.DUMMYFUNCTION("IMPORTRANGE(""https://docs.google.com/spreadsheets/d/1QqKyyYR6Q21VydFLVH3TRQUabQu_ym0Zz7PgGX0-kHA/edit?usp=sharing"",""แผน!K88"")"),30)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IFERROR(__xludf.DUMMYFUNCTION("IMPORTRANGE(""https://docs.google.com/spreadsheets/d/1QqKyyYR6Q21VydFLVH3TRQUabQu_ym0Zz7PgGX0-kHA/edit?usp=sharing"",""แผน!L88"")"),10)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IFERROR(__xludf.DUMMYFUNCTION("IMPORTRANGE(""https://docs.google.com/spreadsheets/d/1QqKyyYR6Q21VydFLVH3TRQUabQu_ym0Zz7PgGX0-kHA/edit?usp=sharing"",""แผน!M88"")"),1)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IFERROR(__xludf.DUMMYFUNCTION("IMPORTRANGE(""https://docs.google.com/spreadsheets/d/1QqKyyYR6Q21VydFLVH3TRQUabQu_ym0Zz7PgGX0-kHA/edit?usp=sharing"",""แผน!N88"")"),30)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IFERROR(__xludf.DUMMYFUNCTION("IMPORTRANGE(""https://docs.google.com/spreadsheets/d/1QqKyyYR6Q21VydFLVH3TRQUabQu_ym0Zz7PgGX0-kHA/edit?usp=sharing"",""แผน!O88"")"),10)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IFERROR(__xludf.DUMMYFUNCTION("IMPORTRANGE(""https://docs.google.com/spreadsheets/d/1QqKyyYR6Q21VydFLVH3TRQUabQu_ym0Zz7PgGX0-kHA/edit?usp=sharing"",""แผน!O88"")"),10)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IFERROR(__xludf.DUMMYFUNCTION("IMPORTRANGE(""https://docs.google.com/spreadsheets/d/1QqKyyYR6Q21VydFLVH3TRQUabQu_ym0Zz7PgGX0-kHA/edit?usp=sharing"",""แผน!P88"")"),1)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IFERROR(__xludf.DUMMYFUNCTION("IMPORTRANGE(""https://docs.google.com/spreadsheets/d/1QqKyyYR6Q21VydFLVH3TRQUabQu_ym0Zz7PgGX0-kHA/edit?usp=sharing"",""แผน!P88"")"),1)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IFERROR(__xludf.DUMMYFUNCTION("IMPORTRANGE(""https://docs.google.com/spreadsheets/d/1QqKyyYR6Q21VydFLVH3TRQUabQu_ym0Zz7PgGX0-kHA/edit?usp=sharing"",""แผน!Q88"")"),0)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IFERROR(__xludf.DUMMYFUNCTION("IMPORTRANGE(""https://docs.google.com/spreadsheets/d/1QqKyyYR6Q21VydFLVH3TRQUabQu_ym0Zz7PgGX0-kHA/edit?usp=sharing"",""แผน!Q88"")"),0)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IFERROR(__xludf.DUMMYFUNCTION("IMPORTRANGE(""https://docs.google.com/spreadsheets/d/1QqKyyYR6Q21VydFLVH3TRQUabQu_ym0Zz7PgGX0-kHA/edit?usp=sharing"",""แผน!R88"")"),10)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IFERROR(__xludf.DUMMYFUNCTION("IMPORTRANGE(""https://docs.google.com/spreadsheets/d/1QqKyyYR6Q21VydFLVH3TRQUabQu_ym0Zz7PgGX0-kHA/edit?usp=sharing"",""แผน!R88"")"),10)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IFERROR(__xludf.DUMMYFUNCTION("IMPORTRANGE(""https://docs.google.com/spreadsheets/d/1QqKyyYR6Q21VydFLVH3TRQUabQu_ym0Zz7PgGX0-kHA/edit?usp=sharing"",""แผน!R88"")"),10)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IFERROR(__xludf.DUMMYFUNCTION("IMPORTRANGE(""https://docs.google.com/spreadsheets/d/1QqKyyYR6Q21VydFLVH3TRQUabQu_ym0Zz7PgGX0-kHA/edit?usp=sharing"",""แผน!S88"")"),1)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IFERROR(__xludf.DUMMYFUNCTION("IMPORTRANGE(""https://docs.google.com/spreadsheets/d/1QqKyyYR6Q21VydFLVH3TRQUabQu_ym0Zz7PgGX0-kHA/edit?usp=sharing"",""แผน!T88"")"),0)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IFERROR(__xludf.DUMMYFUNCTION("IMPORTRANGE(""https://docs.google.com/spreadsheets/d/1MeEWN-I1oV_STSDYn1IFDPWt_1FKiwhDph83XaGc0o0/edit?usp=sharing"",""งบพรบ!BA88"")"),0)</f>
        <v>0</v>
      </c>
      <c r="M124" s="93">
        <f ca="1">IFERROR(__xludf.DUMMYFUNCTION("IMPORTRANGE(""https://docs.google.com/spreadsheets/d/1MeEWN-I1oV_STSDYn1IFDPWt_1FKiwhDph83XaGc0o0/edit?usp=sharing"",""งบพรบ!BF88"")"),0)</f>
        <v>0</v>
      </c>
      <c r="N124" s="93">
        <f ca="1">IFERROR(__xludf.DUMMYFUNCTION("IMPORTRANGE(""https://docs.google.com/spreadsheets/d/1MeEWN-I1oV_STSDYn1IFDPWt_1FKiwhDph83XaGc0o0/edit?usp=sharing"",""งบพรบ!BH88"")"),0)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IFERROR(__xludf.DUMMYFUNCTION("IMPORTRANGE(""https://docs.google.com/spreadsheets/d/1MeEWN-I1oV_STSDYn1IFDPWt_1FKiwhDph83XaGc0o0/edit?usp=sharing"",""งบพรบ!BD88"")"),0)</f>
        <v>0</v>
      </c>
      <c r="M127" s="93">
        <f ca="1">IFERROR(__xludf.DUMMYFUNCTION("IMPORTRANGE(""https://docs.google.com/spreadsheets/d/1MeEWN-I1oV_STSDYn1IFDPWt_1FKiwhDph83XaGc0o0/edit?usp=sharing"",""งบพรบ!BG88"")"),0)</f>
        <v>0</v>
      </c>
      <c r="N127" s="93">
        <f ca="1">IFERROR(__xludf.DUMMYFUNCTION("IMPORTRANGE(""https://docs.google.com/spreadsheets/d/1MeEWN-I1oV_STSDYn1IFDPWt_1FKiwhDph83XaGc0o0/edit?usp=sharing"",""งบพรบ!BI88"")"),0)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911610</v>
      </c>
      <c r="M132" s="155">
        <f t="shared" ca="1" si="69"/>
        <v>905610</v>
      </c>
      <c r="N132" s="155">
        <f t="shared" ca="1" si="69"/>
        <v>736609.14</v>
      </c>
      <c r="O132" s="155">
        <f t="shared" ref="O132:O140" ca="1" si="70">IF(L132&gt;0,N132*100/L132,0)</f>
        <v>80.803100009872637</v>
      </c>
      <c r="P132" s="155">
        <f t="shared" ref="P132:P140" ca="1" si="71">IF(M132&gt;0,N132*100/M132,0)</f>
        <v>81.338450326299395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911610</v>
      </c>
      <c r="M134" s="93">
        <f t="shared" ca="1" si="72"/>
        <v>905610</v>
      </c>
      <c r="N134" s="93">
        <f t="shared" ca="1" si="72"/>
        <v>736609.14</v>
      </c>
      <c r="O134" s="93">
        <f t="shared" ca="1" si="70"/>
        <v>80.803100009872637</v>
      </c>
      <c r="P134" s="93">
        <f t="shared" ca="1" si="71"/>
        <v>81.338450326299395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705610</v>
      </c>
      <c r="M135" s="498">
        <f t="shared" ca="1" si="73"/>
        <v>705610</v>
      </c>
      <c r="N135" s="498">
        <f t="shared" ca="1" si="73"/>
        <v>536609.14</v>
      </c>
      <c r="O135" s="498">
        <f t="shared" ca="1" si="70"/>
        <v>76.048970394410503</v>
      </c>
      <c r="P135" s="498">
        <f t="shared" ca="1" si="71"/>
        <v>76.048970394410503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IFERROR(__xludf.DUMMYFUNCTION("IMPORTRANGE(""https://docs.google.com/spreadsheets/d/1MeEWN-I1oV_STSDYn1IFDPWt_1FKiwhDph83XaGc0o0/edit?usp=sharing"",""งบพรบ!BK88"")"),705610)</f>
        <v>705610</v>
      </c>
      <c r="M137" s="93">
        <f ca="1">IFERROR(__xludf.DUMMYFUNCTION("IMPORTRANGE(""https://docs.google.com/spreadsheets/d/1MeEWN-I1oV_STSDYn1IFDPWt_1FKiwhDph83XaGc0o0/edit?usp=sharing"",""งบพรบ!BP88"")"),705610)</f>
        <v>705610</v>
      </c>
      <c r="N137" s="93">
        <f ca="1">IFERROR(__xludf.DUMMYFUNCTION("IMPORTRANGE(""https://docs.google.com/spreadsheets/d/1MeEWN-I1oV_STSDYn1IFDPWt_1FKiwhDph83XaGc0o0/edit?usp=sharing"",""งบพรบ!BR88"")"),536609.14)</f>
        <v>536609.14</v>
      </c>
      <c r="O137" s="93">
        <f t="shared" ca="1" si="70"/>
        <v>76.048970394410503</v>
      </c>
      <c r="P137" s="93">
        <f t="shared" ca="1" si="71"/>
        <v>76.048970394410503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206000</v>
      </c>
      <c r="M138" s="498">
        <f t="shared" ca="1" si="74"/>
        <v>200000</v>
      </c>
      <c r="N138" s="498">
        <f t="shared" ca="1" si="74"/>
        <v>200000</v>
      </c>
      <c r="O138" s="498">
        <f t="shared" ca="1" si="70"/>
        <v>97.087378640776706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IFERROR(__xludf.DUMMYFUNCTION("IMPORTRANGE(""https://docs.google.com/spreadsheets/d/1MeEWN-I1oV_STSDYn1IFDPWt_1FKiwhDph83XaGc0o0/edit?usp=sharing"",""งบพรบ!BN88"")"),206000)</f>
        <v>206000</v>
      </c>
      <c r="M140" s="93">
        <f ca="1">IFERROR(__xludf.DUMMYFUNCTION("IMPORTRANGE(""https://docs.google.com/spreadsheets/d/1MeEWN-I1oV_STSDYn1IFDPWt_1FKiwhDph83XaGc0o0/edit?usp=sharing"",""งบพรบ!BQ88"")"),200000)</f>
        <v>200000</v>
      </c>
      <c r="N140" s="93">
        <f ca="1">IFERROR(__xludf.DUMMYFUNCTION("IMPORTRANGE(""https://docs.google.com/spreadsheets/d/1MeEWN-I1oV_STSDYn1IFDPWt_1FKiwhDph83XaGc0o0/edit?usp=sharing"",""งบพรบ!BS88"")"),200000)</f>
        <v>200000</v>
      </c>
      <c r="O140" s="93">
        <f t="shared" ca="1" si="70"/>
        <v>97.087378640776706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IFERROR(__xludf.DUMMYFUNCTION("IMPORTRANGE(""https://docs.google.com/spreadsheets/d/1QqKyyYR6Q21VydFLVH3TRQUabQu_ym0Zz7PgGX0-kHA/edit?usp=sharing"",""แผน!U88"")"),10)</f>
        <v>10</v>
      </c>
      <c r="J144" s="215">
        <v>10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IFERROR(__xludf.DUMMYFUNCTION("IMPORTRANGE(""https://docs.google.com/spreadsheets/d/1QqKyyYR6Q21VydFLVH3TRQUabQu_ym0Zz7PgGX0-kHA/edit?usp=sharing"",""แผน!V88"")"),20)</f>
        <v>20</v>
      </c>
      <c r="J145" s="215">
        <v>20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IFERROR(__xludf.DUMMYFUNCTION("IMPORTRANGE(""https://docs.google.com/spreadsheets/d/1QqKyyYR6Q21VydFLVH3TRQUabQu_ym0Zz7PgGX0-kHA/edit?usp=sharing"",""แผน!W88"")"),2)</f>
        <v>2</v>
      </c>
      <c r="J146" s="215">
        <v>2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10000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10000</v>
      </c>
      <c r="O151" s="93">
        <f t="shared" ca="1" si="78"/>
        <v>100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10000</v>
      </c>
      <c r="N152" s="498">
        <f t="shared" ca="1" si="81"/>
        <v>10000</v>
      </c>
      <c r="O152" s="498">
        <f t="shared" ca="1" si="78"/>
        <v>100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IFERROR(__xludf.DUMMYFUNCTION("IMPORTRANGE(""https://docs.google.com/spreadsheets/d/1MeEWN-I1oV_STSDYn1IFDPWt_1FKiwhDph83XaGc0o0/edit?usp=sharing"",""งบพรบ!BU88"")"),10000)</f>
        <v>10000</v>
      </c>
      <c r="M154" s="93">
        <f ca="1">IFERROR(__xludf.DUMMYFUNCTION("IMPORTRANGE(""https://docs.google.com/spreadsheets/d/1MeEWN-I1oV_STSDYn1IFDPWt_1FKiwhDph83XaGc0o0/edit?usp=sharing"",""งบพรบ!BZ88"")"),10000)</f>
        <v>10000</v>
      </c>
      <c r="N154" s="93">
        <f ca="1">IFERROR(__xludf.DUMMYFUNCTION("IMPORTRANGE(""https://docs.google.com/spreadsheets/d/1MeEWN-I1oV_STSDYn1IFDPWt_1FKiwhDph83XaGc0o0/edit?usp=sharing"",""งบพรบ!CB88"")"),10000)</f>
        <v>10000</v>
      </c>
      <c r="O154" s="93">
        <f t="shared" ca="1" si="78"/>
        <v>100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IFERROR(__xludf.DUMMYFUNCTION("IMPORTRANGE(""https://docs.google.com/spreadsheets/d/1MeEWN-I1oV_STSDYn1IFDPWt_1FKiwhDph83XaGc0o0/edit?usp=sharing"",""งบพรบ!BX88"")"),0)</f>
        <v>0</v>
      </c>
      <c r="M157" s="93">
        <f ca="1">IFERROR(__xludf.DUMMYFUNCTION("IMPORTRANGE(""https://docs.google.com/spreadsheets/d/1MeEWN-I1oV_STSDYn1IFDPWt_1FKiwhDph83XaGc0o0/edit?usp=sharing"",""งบพรบ!CA88"")"),0)</f>
        <v>0</v>
      </c>
      <c r="N157" s="93">
        <f ca="1">IFERROR(__xludf.DUMMYFUNCTION("IMPORTRANGE(""https://docs.google.com/spreadsheets/d/1MeEWN-I1oV_STSDYn1IFDPWt_1FKiwhDph83XaGc0o0/edit?usp=sharing"",""งบพรบ!CC88"")"),0)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IFERROR(__xludf.DUMMYFUNCTION("IMPORTRANGE(""https://docs.google.com/spreadsheets/d/1QqKyyYR6Q21VydFLVH3TRQUabQu_ym0Zz7PgGX0-kHA/edit?usp=sharing"",""แผน!X88"")"),20)</f>
        <v>20</v>
      </c>
      <c r="J159" s="215">
        <v>20</v>
      </c>
      <c r="K159" s="498">
        <f ca="1">IF(I159&gt;0,J159*100/I159,0)</f>
        <v>100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22055</v>
      </c>
      <c r="M165" s="155">
        <f t="shared" ca="1" si="84"/>
        <v>38105</v>
      </c>
      <c r="N165" s="155">
        <f t="shared" ca="1" si="84"/>
        <v>38105</v>
      </c>
      <c r="O165" s="155">
        <f t="shared" ref="O165:O173" ca="1" si="85">IF(L165&gt;0,N165*100/L165,0)</f>
        <v>172.77261391974608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22055</v>
      </c>
      <c r="M167" s="93">
        <f t="shared" ca="1" si="87"/>
        <v>38105</v>
      </c>
      <c r="N167" s="93">
        <f t="shared" ca="1" si="87"/>
        <v>38105</v>
      </c>
      <c r="O167" s="93">
        <f t="shared" ca="1" si="85"/>
        <v>172.77261391974608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38105</v>
      </c>
      <c r="N168" s="498">
        <f t="shared" ca="1" si="88"/>
        <v>38105</v>
      </c>
      <c r="O168" s="498">
        <f t="shared" ca="1" si="85"/>
        <v>172.77261391974608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IFERROR(__xludf.DUMMYFUNCTION("IMPORTRANGE(""https://docs.google.com/spreadsheets/d/1MeEWN-I1oV_STSDYn1IFDPWt_1FKiwhDph83XaGc0o0/edit?usp=sharing"",""งบพรบ!CE88"")"),22055)</f>
        <v>22055</v>
      </c>
      <c r="M170" s="93">
        <f ca="1">IFERROR(__xludf.DUMMYFUNCTION("IMPORTRANGE(""https://docs.google.com/spreadsheets/d/1MeEWN-I1oV_STSDYn1IFDPWt_1FKiwhDph83XaGc0o0/edit?usp=sharing"",""งบพรบ!CJ88"")"),38105)</f>
        <v>38105</v>
      </c>
      <c r="N170" s="93">
        <f ca="1">IFERROR(__xludf.DUMMYFUNCTION("IMPORTRANGE(""https://docs.google.com/spreadsheets/d/1MeEWN-I1oV_STSDYn1IFDPWt_1FKiwhDph83XaGc0o0/edit?usp=sharing"",""งบพรบ!CL88"")"),38105)</f>
        <v>38105</v>
      </c>
      <c r="O170" s="93">
        <f t="shared" ca="1" si="85"/>
        <v>172.77261391974608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IFERROR(__xludf.DUMMYFUNCTION("IMPORTRANGE(""https://docs.google.com/spreadsheets/d/1MeEWN-I1oV_STSDYn1IFDPWt_1FKiwhDph83XaGc0o0/edit?usp=sharing"",""งบพรบ!CH88"")"),0)</f>
        <v>0</v>
      </c>
      <c r="M173" s="93">
        <f ca="1">IFERROR(__xludf.DUMMYFUNCTION("IMPORTRANGE(""https://docs.google.com/spreadsheets/d/1MeEWN-I1oV_STSDYn1IFDPWt_1FKiwhDph83XaGc0o0/edit?usp=sharing"",""งบพรบ!CK88"")"),0)</f>
        <v>0</v>
      </c>
      <c r="N173" s="93">
        <f ca="1">IFERROR(__xludf.DUMMYFUNCTION("IMPORTRANGE(""https://docs.google.com/spreadsheets/d/1MeEWN-I1oV_STSDYn1IFDPWt_1FKiwhDph83XaGc0o0/edit?usp=sharing"",""งบพรบ!CM88"")"),0)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IFERROR(__xludf.DUMMYFUNCTION("IMPORTRANGE(""https://docs.google.com/spreadsheets/d/1QqKyyYR6Q21VydFLVH3TRQUabQu_ym0Zz7PgGX0-kHA/edit?usp=sharing"",""แผน!Y88"")"),11)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64500</v>
      </c>
      <c r="M181" s="155">
        <f t="shared" ca="1" si="92"/>
        <v>64500</v>
      </c>
      <c r="N181" s="155">
        <f t="shared" ca="1" si="92"/>
        <v>60560</v>
      </c>
      <c r="O181" s="155">
        <f t="shared" ref="O181:O189" ca="1" si="93">IF(L181&gt;0,N181*100/L181,0)</f>
        <v>93.891472868217051</v>
      </c>
      <c r="P181" s="155">
        <f t="shared" ref="P181:P189" ca="1" si="94">IF(M181&gt;0,N181*100/M181,0)</f>
        <v>93.891472868217051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64500</v>
      </c>
      <c r="M183" s="93">
        <f t="shared" ca="1" si="95"/>
        <v>64500</v>
      </c>
      <c r="N183" s="93">
        <f t="shared" ca="1" si="95"/>
        <v>60560</v>
      </c>
      <c r="O183" s="93">
        <f t="shared" ca="1" si="93"/>
        <v>93.891472868217051</v>
      </c>
      <c r="P183" s="93">
        <f t="shared" ca="1" si="94"/>
        <v>93.891472868217051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64500</v>
      </c>
      <c r="M184" s="498">
        <f t="shared" ca="1" si="96"/>
        <v>64500</v>
      </c>
      <c r="N184" s="498">
        <f t="shared" ca="1" si="96"/>
        <v>60560</v>
      </c>
      <c r="O184" s="498">
        <f t="shared" ca="1" si="93"/>
        <v>93.891472868217051</v>
      </c>
      <c r="P184" s="498">
        <f t="shared" ca="1" si="94"/>
        <v>93.891472868217051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IFERROR(__xludf.DUMMYFUNCTION("IMPORTRANGE(""https://docs.google.com/spreadsheets/d/1MeEWN-I1oV_STSDYn1IFDPWt_1FKiwhDph83XaGc0o0/edit?usp=sharing"",""งบพรบ!CO88"")"),64500)</f>
        <v>64500</v>
      </c>
      <c r="M186" s="93">
        <f ca="1">IFERROR(__xludf.DUMMYFUNCTION("IMPORTRANGE(""https://docs.google.com/spreadsheets/d/1MeEWN-I1oV_STSDYn1IFDPWt_1FKiwhDph83XaGc0o0/edit?usp=sharing"",""งบพรบ!CT88"")"),64500)</f>
        <v>64500</v>
      </c>
      <c r="N186" s="93">
        <f ca="1">IFERROR(__xludf.DUMMYFUNCTION("IMPORTRANGE(""https://docs.google.com/spreadsheets/d/1MeEWN-I1oV_STSDYn1IFDPWt_1FKiwhDph83XaGc0o0/edit?usp=sharing"",""งบพรบ!CV88"")"),60560)</f>
        <v>60560</v>
      </c>
      <c r="O186" s="93">
        <f t="shared" ca="1" si="93"/>
        <v>93.891472868217051</v>
      </c>
      <c r="P186" s="93">
        <f t="shared" ca="1" si="94"/>
        <v>93.891472868217051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IFERROR(__xludf.DUMMYFUNCTION("IMPORTRANGE(""https://docs.google.com/spreadsheets/d/1MeEWN-I1oV_STSDYn1IFDPWt_1FKiwhDph83XaGc0o0/edit?usp=sharing"",""งบพรบ!CR88"")"),0)</f>
        <v>0</v>
      </c>
      <c r="M189" s="93">
        <f ca="1">IFERROR(__xludf.DUMMYFUNCTION("IMPORTRANGE(""https://docs.google.com/spreadsheets/d/1MeEWN-I1oV_STSDYn1IFDPWt_1FKiwhDph83XaGc0o0/edit?usp=sharing"",""งบพรบ!CU88"")"),0)</f>
        <v>0</v>
      </c>
      <c r="N189" s="93">
        <f ca="1">IFERROR(__xludf.DUMMYFUNCTION("IMPORTRANGE(""https://docs.google.com/spreadsheets/d/1MeEWN-I1oV_STSDYn1IFDPWt_1FKiwhDph83XaGc0o0/edit?usp=sharing"",""งบพรบ!CW88"")"),0)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IFERROR(__xludf.DUMMYFUNCTION("IMPORTRANGE(""https://docs.google.com/spreadsheets/d/1QqKyyYR6Q21VydFLVH3TRQUabQu_ym0Zz7PgGX0-kHA/edit?usp=sharing"",""แผน!Z88"")"),6000)</f>
        <v>6000</v>
      </c>
      <c r="M191" s="155"/>
      <c r="N191" s="276">
        <v>3760</v>
      </c>
      <c r="O191" s="155">
        <f ca="1">IF(L191&gt;0,N191*100/L191,0)</f>
        <v>62.666666666666664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IFERROR(__xludf.DUMMYFUNCTION("IMPORTRANGE(""https://docs.google.com/spreadsheets/d/1QqKyyYR6Q21VydFLVH3TRQUabQu_ym0Zz7PgGX0-kHA/edit?usp=sharing"",""แผน!AC88"")"),4)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75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75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52000</v>
      </c>
      <c r="M198" s="155"/>
      <c r="N198" s="155">
        <f>N199+N200+N201+N202</f>
        <v>52000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IFERROR(__xludf.DUMMYFUNCTION("IMPORTRANGE(""https://docs.google.com/spreadsheets/d/1QqKyyYR6Q21VydFLVH3TRQUabQu_ym0Zz7PgGX0-kHA/edit?usp=sharing"",""แผน!AE88"")"),4000)</f>
        <v>4000</v>
      </c>
      <c r="M199" s="498"/>
      <c r="N199" s="826">
        <v>4000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IFERROR(__xludf.DUMMYFUNCTION("IMPORTRANGE(""https://docs.google.com/spreadsheets/d/1QqKyyYR6Q21VydFLVH3TRQUabQu_ym0Zz7PgGX0-kHA/edit?usp=sharing"",""แผน!AF88"")"),32000)</f>
        <v>32000</v>
      </c>
      <c r="M200" s="498"/>
      <c r="N200" s="826">
        <v>32000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IFERROR(__xludf.DUMMYFUNCTION("IMPORTRANGE(""https://docs.google.com/spreadsheets/d/1QqKyyYR6Q21VydFLVH3TRQUabQu_ym0Zz7PgGX0-kHA/edit?usp=sharing"",""แผน!AG88"")"),16000)</f>
        <v>16000</v>
      </c>
      <c r="M201" s="498"/>
      <c r="N201" s="826">
        <v>16000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IFERROR(__xludf.DUMMYFUNCTION("IMPORTRANGE(""https://docs.google.com/spreadsheets/d/1QqKyyYR6Q21VydFLVH3TRQUabQu_ym0Zz7PgGX0-kHA/edit?usp=sharing"",""แผน!AH88"")"),0)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IFERROR(__xludf.DUMMYFUNCTION("IMPORTRANGE(""https://docs.google.com/spreadsheets/d/1QqKyyYR6Q21VydFLVH3TRQUabQu_ym0Zz7PgGX0-kHA/edit?usp=sharing"",""แผน!AI88"")"),4)</f>
        <v>4</v>
      </c>
      <c r="J204" s="215">
        <v>4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IFERROR(__xludf.DUMMYFUNCTION("IMPORTRANGE(""https://docs.google.com/spreadsheets/d/1QqKyyYR6Q21VydFLVH3TRQUabQu_ym0Zz7PgGX0-kHA/edit?usp=sharing"",""แผน!AK88"")"),0)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IFERROR(__xludf.DUMMYFUNCTION("IMPORTRANGE(""https://docs.google.com/spreadsheets/d/1QqKyyYR6Q21VydFLVH3TRQUabQu_ym0Zz7PgGX0-kHA/edit?usp=sharing"",""แผน!AL88"")"),0)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IFERROR(__xludf.DUMMYFUNCTION("IMPORTRANGE(""https://docs.google.com/spreadsheets/d/1QqKyyYR6Q21VydFLVH3TRQUabQu_ym0Zz7PgGX0-kHA/edit?usp=sharing"",""แผน!AM88"")"),0)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IFERROR(__xludf.DUMMYFUNCTION("IMPORTRANGE(""https://docs.google.com/spreadsheets/d/1QqKyyYR6Q21VydFLVH3TRQUabQu_ym0Zz7PgGX0-kHA/edit?usp=sharing"",""แผน!AN88"")"),0)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IFERROR(__xludf.DUMMYFUNCTION("IMPORTRANGE(""https://docs.google.com/spreadsheets/d/1QqKyyYR6Q21VydFLVH3TRQUabQu_ym0Zz7PgGX0-kHA/edit?usp=sharing"",""แผน!AN88"")"),0)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10000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4040</v>
      </c>
      <c r="O217" s="155">
        <f ca="1">IF(L217&gt;0,N217*100/L217,0)</f>
        <v>62.153846153846153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IFERROR(__xludf.DUMMYFUNCTION("IMPORTRANGE(""https://docs.google.com/spreadsheets/d/1QqKyyYR6Q21VydFLVH3TRQUabQu_ym0Zz7PgGX0-kHA/edit?usp=sharing"",""แผน!AP88"")"),3000)</f>
        <v>3000</v>
      </c>
      <c r="M218" s="498"/>
      <c r="N218" s="826">
        <v>540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IFERROR(__xludf.DUMMYFUNCTION("IMPORTRANGE(""https://docs.google.com/spreadsheets/d/1QqKyyYR6Q21VydFLVH3TRQUabQu_ym0Zz7PgGX0-kHA/edit?usp=sharing"",""แผน!AQ88"")"),3500)</f>
        <v>3500</v>
      </c>
      <c r="M219" s="498"/>
      <c r="N219" s="826">
        <v>3500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IFERROR(__xludf.DUMMYFUNCTION("IMPORTRANGE(""https://docs.google.com/spreadsheets/d/1QqKyyYR6Q21VydFLVH3TRQUabQu_ym0Zz7PgGX0-kHA/edit?usp=sharing"",""แผน!AR88"")"),0)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IFERROR(__xludf.DUMMYFUNCTION("IMPORTRANGE(""https://docs.google.com/spreadsheets/d/1QqKyyYR6Q21VydFLVH3TRQUabQu_ym0Zz7PgGX0-kHA/edit?usp=sharing"",""แผน!AT88"")"),10000)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IFERROR(__xludf.DUMMYFUNCTION("IMPORTRANGE(""https://docs.google.com/spreadsheets/d/1QqKyyYR6Q21VydFLVH3TRQUabQu_ym0Zz7PgGX0-kHA/edit?usp=sharing"",""แผน!AT88"")"),10000)</f>
        <v>10000</v>
      </c>
      <c r="J224" s="215">
        <v>10000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IFERROR(__xludf.DUMMYFUNCTION("IMPORTRANGE(""https://docs.google.com/spreadsheets/d/1QqKyyYR6Q21VydFLVH3TRQUabQu_ym0Zz7PgGX0-kHA/edit?usp=sharing"",""แผน!AS88"")"),0)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IFERROR(__xludf.DUMMYFUNCTION("IMPORTRANGE(""https://docs.google.com/spreadsheets/d/1QqKyyYR6Q21VydFLVH3TRQUabQu_ym0Zz7PgGX0-kHA/edit?usp=sharing"",""แผน!AV88"")"),0)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IFERROR(__xludf.DUMMYFUNCTION("IMPORTRANGE(""https://docs.google.com/spreadsheets/d/1QqKyyYR6Q21VydFLVH3TRQUabQu_ym0Zz7PgGX0-kHA/edit?usp=sharing"",""แผน!AW88"")"),0)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IFERROR(__xludf.DUMMYFUNCTION("IMPORTRANGE(""https://docs.google.com/spreadsheets/d/1QqKyyYR6Q21VydFLVH3TRQUabQu_ym0Zz7PgGX0-kHA/edit?usp=sharing"",""แผน!AX88"")"),0)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IFERROR(__xludf.DUMMYFUNCTION("IMPORTRANGE(""https://docs.google.com/spreadsheets/d/1QqKyyYR6Q21VydFLVH3TRQUabQu_ym0Zz7PgGX0-kHA/edit?usp=sharing"",""แผน!AY88"")"),0)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IFERROR(__xludf.DUMMYFUNCTION("IMPORTRANGE(""https://docs.google.com/spreadsheets/d/1QqKyyYR6Q21VydFLVH3TRQUabQu_ym0Zz7PgGX0-kHA/edit?usp=sharing"",""แผน!BE88"")"),0)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IFERROR(__xludf.DUMMYFUNCTION("IMPORTRANGE(""https://docs.google.com/spreadsheets/d/1QqKyyYR6Q21VydFLVH3TRQUabQu_ym0Zz7PgGX0-kHA/edit?usp=sharing"",""แผน!AZ88"")"),0)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IFERROR(__xludf.DUMMYFUNCTION("IMPORTRANGE(""https://docs.google.com/spreadsheets/d/1QqKyyYR6Q21VydFLVH3TRQUabQu_ym0Zz7PgGX0-kHA/edit?usp=sharing"",""แผน!BA88"")"),0)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IFERROR(__xludf.DUMMYFUNCTION("IMPORTRANGE(""https://docs.google.com/spreadsheets/d/1QqKyyYR6Q21VydFLVH3TRQUabQu_ym0Zz7PgGX0-kHA/edit?usp=sharing"",""แผน!BB88"")"),0)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IFERROR(__xludf.DUMMYFUNCTION("IMPORTRANGE(""https://docs.google.com/spreadsheets/d/1QqKyyYR6Q21VydFLVH3TRQUabQu_ym0Zz7PgGX0-kHA/edit?usp=sharing"",""แผน!BC88"")"),0)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IFERROR(__xludf.DUMMYFUNCTION("IMPORTRANGE(""https://docs.google.com/spreadsheets/d/1QqKyyYR6Q21VydFLVH3TRQUabQu_ym0Zz7PgGX0-kHA/edit?usp=sharing"",""แผน!BF88"")"),0)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910</v>
      </c>
      <c r="O261" s="155">
        <f t="shared" ref="O261:O269" ca="1" si="117">IF(L261&gt;0,N261*100/L261,0)</f>
        <v>3.64</v>
      </c>
      <c r="P261" s="155">
        <f t="shared" ref="P261:P269" ca="1" si="118">IF(M261&gt;0,N261*100/M261,0)</f>
        <v>3.64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910</v>
      </c>
      <c r="O263" s="93">
        <f t="shared" ca="1" si="117"/>
        <v>3.64</v>
      </c>
      <c r="P263" s="93">
        <f t="shared" ca="1" si="118"/>
        <v>3.64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25000</v>
      </c>
      <c r="N264" s="498">
        <f t="shared" ca="1" si="120"/>
        <v>910</v>
      </c>
      <c r="O264" s="498">
        <f t="shared" ca="1" si="117"/>
        <v>3.64</v>
      </c>
      <c r="P264" s="498">
        <f t="shared" ca="1" si="118"/>
        <v>3.64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IFERROR(__xludf.DUMMYFUNCTION("IMPORTRANGE(""https://docs.google.com/spreadsheets/d/1MeEWN-I1oV_STSDYn1IFDPWt_1FKiwhDph83XaGc0o0/edit?usp=sharing"",""งบพรบ!CY88"")"),25000)</f>
        <v>25000</v>
      </c>
      <c r="M266" s="93">
        <f ca="1">IFERROR(__xludf.DUMMYFUNCTION("IMPORTRANGE(""https://docs.google.com/spreadsheets/d/1MeEWN-I1oV_STSDYn1IFDPWt_1FKiwhDph83XaGc0o0/edit?usp=sharing"",""งบพรบ!DD88"")"),25000)</f>
        <v>25000</v>
      </c>
      <c r="N266" s="93">
        <f ca="1">IFERROR(__xludf.DUMMYFUNCTION("IMPORTRANGE(""https://docs.google.com/spreadsheets/d/1MeEWN-I1oV_STSDYn1IFDPWt_1FKiwhDph83XaGc0o0/edit?usp=sharing"",""งบพรบ!DF88"")"),910)</f>
        <v>910</v>
      </c>
      <c r="O266" s="93">
        <f t="shared" ca="1" si="117"/>
        <v>3.64</v>
      </c>
      <c r="P266" s="93">
        <f t="shared" ca="1" si="118"/>
        <v>3.64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IFERROR(__xludf.DUMMYFUNCTION("IMPORTRANGE(""https://docs.google.com/spreadsheets/d/1MeEWN-I1oV_STSDYn1IFDPWt_1FKiwhDph83XaGc0o0/edit?usp=sharing"",""งบพรบ!DB88"")"),0)</f>
        <v>0</v>
      </c>
      <c r="M269" s="93">
        <f ca="1">IFERROR(__xludf.DUMMYFUNCTION("IMPORTRANGE(""https://docs.google.com/spreadsheets/d/1MeEWN-I1oV_STSDYn1IFDPWt_1FKiwhDph83XaGc0o0/edit?usp=sharing"",""งบพรบ!DE88"")"),0)</f>
        <v>0</v>
      </c>
      <c r="N269" s="93">
        <f ca="1">IFERROR(__xludf.DUMMYFUNCTION("IMPORTRANGE(""https://docs.google.com/spreadsheets/d/1MeEWN-I1oV_STSDYn1IFDPWt_1FKiwhDph83XaGc0o0/edit?usp=sharing"",""งบพรบ!DG88"")"),0)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IFERROR(__xludf.DUMMYFUNCTION("IMPORTRANGE(""https://docs.google.com/spreadsheets/d/1QqKyyYR6Q21VydFLVH3TRQUabQu_ym0Zz7PgGX0-kHA/edit?usp=sharing"",""แผน!EA88"")"),20)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100</v>
      </c>
      <c r="J276" s="410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41010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41010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41010</v>
      </c>
      <c r="M280" s="498">
        <f t="shared" ca="1" si="129"/>
        <v>41010</v>
      </c>
      <c r="N280" s="498">
        <f t="shared" ca="1" si="129"/>
        <v>41010</v>
      </c>
      <c r="O280" s="498">
        <f t="shared" ca="1" si="126"/>
        <v>100</v>
      </c>
      <c r="P280" s="498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IFERROR(__xludf.DUMMYFUNCTION("IMPORTRANGE(""https://docs.google.com/spreadsheets/d/1MeEWN-I1oV_STSDYn1IFDPWt_1FKiwhDph83XaGc0o0/edit?usp=sharing"",""งบพรบ!DI88"")"),41010)</f>
        <v>41010</v>
      </c>
      <c r="M282" s="93">
        <f ca="1">IFERROR(__xludf.DUMMYFUNCTION("IMPORTRANGE(""https://docs.google.com/spreadsheets/d/1MeEWN-I1oV_STSDYn1IFDPWt_1FKiwhDph83XaGc0o0/edit?usp=sharing"",""งบพรบ!DN88"")"),41010)</f>
        <v>41010</v>
      </c>
      <c r="N282" s="93">
        <f ca="1">IFERROR(__xludf.DUMMYFUNCTION("IMPORTRANGE(""https://docs.google.com/spreadsheets/d/1MeEWN-I1oV_STSDYn1IFDPWt_1FKiwhDph83XaGc0o0/edit?usp=sharing"",""งบพรบ!DP88"")"),41010)</f>
        <v>41010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IFERROR(__xludf.DUMMYFUNCTION("IMPORTRANGE(""https://docs.google.com/spreadsheets/d/1MeEWN-I1oV_STSDYn1IFDPWt_1FKiwhDph83XaGc0o0/edit?usp=sharing"",""งบพรบ!DL88"")"),0)</f>
        <v>0</v>
      </c>
      <c r="M285" s="93">
        <f ca="1">IFERROR(__xludf.DUMMYFUNCTION("IMPORTRANGE(""https://docs.google.com/spreadsheets/d/1MeEWN-I1oV_STSDYn1IFDPWt_1FKiwhDph83XaGc0o0/edit?usp=sharing"",""งบพรบ!DO88"")"),0)</f>
        <v>0</v>
      </c>
      <c r="N285" s="93">
        <f ca="1">IFERROR(__xludf.DUMMYFUNCTION("IMPORTRANGE(""https://docs.google.com/spreadsheets/d/1MeEWN-I1oV_STSDYn1IFDPWt_1FKiwhDph83XaGc0o0/edit?usp=sharing"",""งบพรบ!DQ88"")"),0)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IFERROR(__xludf.DUMMYFUNCTION("IMPORTRANGE(""https://docs.google.com/spreadsheets/d/1QqKyyYR6Q21VydFLVH3TRQUabQu_ym0Zz7PgGX0-kHA/edit?usp=sharing"",""แผน!EC88"")"),100)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IFERROR(__xludf.DUMMYFUNCTION("IMPORTRANGE(""https://docs.google.com/spreadsheets/d/1QqKyyYR6Q21VydFLVH3TRQUabQu_ym0Zz7PgGX0-kHA/edit?usp=sharing"",""แผน!EB88"")"),10)</f>
        <v>10</v>
      </c>
      <c r="J288" s="680">
        <f ca="1">IF(AND(J291&gt;=I288,J294&gt;=I288),J294,0)</f>
        <v>10</v>
      </c>
      <c r="K288" s="412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IFERROR(__xludf.DUMMYFUNCTION("IMPORTRANGE(""https://docs.google.com/spreadsheets/d/1QqKyyYR6Q21VydFLVH3TRQUabQu_ym0Zz7PgGX0-kHA/edit?usp=sharing"",""แผน!EB88"")"),10)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5" t="s">
        <v>133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IFERROR(__xludf.DUMMYFUNCTION("IMPORTRANGE(""https://docs.google.com/spreadsheets/d/1QqKyyYR6Q21VydFLVH3TRQUabQu_ym0Zz7PgGX0-kHA/edit?usp=sharing"",""แผน!EB88"")"),10)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IFERROR(__xludf.DUMMYFUNCTION("IMPORTRANGE(""https://docs.google.com/spreadsheets/d/1QqKyyYR6Q21VydFLVH3TRQUabQu_ym0Zz7PgGX0-kHA/edit?usp=sharing"",""แผน!EB88"")"),10)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3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IFERROR(__xludf.DUMMYFUNCTION("IMPORTRANGE(""https://docs.google.com/spreadsheets/d/1QqKyyYR6Q21VydFLVH3TRQUabQu_ym0Zz7PgGX0-kHA/edit?usp=sharing"",""แผน!EB88"")"),10)</f>
        <v>10</v>
      </c>
      <c r="J294" s="425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82400</v>
      </c>
      <c r="O301" s="498">
        <f t="shared" ca="1" si="136"/>
        <v>100</v>
      </c>
      <c r="P301" s="49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IFERROR(__xludf.DUMMYFUNCTION("IMPORTRANGE(""https://docs.google.com/spreadsheets/d/1MeEWN-I1oV_STSDYn1IFDPWt_1FKiwhDph83XaGc0o0/edit?usp=sharing"",""งบพรบ!DS88"")"),82400)</f>
        <v>82400</v>
      </c>
      <c r="M303" s="93">
        <f ca="1">IFERROR(__xludf.DUMMYFUNCTION("IMPORTRANGE(""https://docs.google.com/spreadsheets/d/1MeEWN-I1oV_STSDYn1IFDPWt_1FKiwhDph83XaGc0o0/edit?usp=sharing"",""งบพรบ!DX88"")"),82400)</f>
        <v>82400</v>
      </c>
      <c r="N303" s="93">
        <f ca="1">IFERROR(__xludf.DUMMYFUNCTION("IMPORTRANGE(""https://docs.google.com/spreadsheets/d/1MeEWN-I1oV_STSDYn1IFDPWt_1FKiwhDph83XaGc0o0/edit?usp=sharing"",""งบพรบ!DZ88"")"),82400)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IFERROR(__xludf.DUMMYFUNCTION("IMPORTRANGE(""https://docs.google.com/spreadsheets/d/1MeEWN-I1oV_STSDYn1IFDPWt_1FKiwhDph83XaGc0o0/edit?usp=sharing"",""งบพรบ!DV88"")"),0)</f>
        <v>0</v>
      </c>
      <c r="M306" s="93">
        <f ca="1">IFERROR(__xludf.DUMMYFUNCTION("IMPORTRANGE(""https://docs.google.com/spreadsheets/d/1MeEWN-I1oV_STSDYn1IFDPWt_1FKiwhDph83XaGc0o0/edit?usp=sharing"",""งบพรบ!DY88"")"),0)</f>
        <v>0</v>
      </c>
      <c r="N306" s="93">
        <f ca="1">IFERROR(__xludf.DUMMYFUNCTION("IMPORTRANGE(""https://docs.google.com/spreadsheets/d/1MeEWN-I1oV_STSDYn1IFDPWt_1FKiwhDph83XaGc0o0/edit?usp=sharing"",""งบพรบ!EA88"")"),0)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IFERROR(__xludf.DUMMYFUNCTION("IMPORTRANGE(""https://docs.google.com/spreadsheets/d/1QqKyyYR6Q21VydFLVH3TRQUabQu_ym0Zz7PgGX0-kHA/edit?usp=sharing"",""แผน!ED88"")"),20)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IFERROR(__xludf.DUMMYFUNCTION("IMPORTRANGE(""https://docs.google.com/spreadsheets/d/1QqKyyYR6Q21VydFLVH3TRQUabQu_ym0Zz7PgGX0-kHA/edit?usp=sharing"",""แผน!ED88"")"),20)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IFERROR(__xludf.DUMMYFUNCTION("IMPORTRANGE(""https://docs.google.com/spreadsheets/d/1QqKyyYR6Q21VydFLVH3TRQUabQu_ym0Zz7PgGX0-kHA/edit?usp=sharing"",""แผน!ED88"")"),20)</f>
        <v>20</v>
      </c>
      <c r="J311" s="215">
        <v>20</v>
      </c>
      <c r="K311" s="498">
        <f t="shared" ca="1" si="141"/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IFERROR(__xludf.DUMMYFUNCTION("IMPORTRANGE(""https://docs.google.com/spreadsheets/d/1QqKyyYR6Q21VydFLVH3TRQUabQu_ym0Zz7PgGX0-kHA/edit?usp=sharing"",""แผน!EE88"")"),4)</f>
        <v>4</v>
      </c>
      <c r="J312" s="215">
        <v>4</v>
      </c>
      <c r="K312" s="498">
        <f t="shared" ca="1" si="141"/>
        <v>100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439000</v>
      </c>
      <c r="M315" s="155">
        <f t="shared" ca="1" si="143"/>
        <v>439000</v>
      </c>
      <c r="N315" s="155">
        <f t="shared" ca="1" si="143"/>
        <v>325720.61</v>
      </c>
      <c r="O315" s="155">
        <f t="shared" ref="O315:O323" ca="1" si="144">IF(L315&gt;0,N315*100/L315,0)</f>
        <v>74.196038724373579</v>
      </c>
      <c r="P315" s="155">
        <f t="shared" ref="P315:P323" ca="1" si="145">IF(M315&gt;0,N315*100/M315,0)</f>
        <v>74.196038724373579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439000</v>
      </c>
      <c r="M317" s="93">
        <f t="shared" ca="1" si="146"/>
        <v>439000</v>
      </c>
      <c r="N317" s="93">
        <f t="shared" ca="1" si="146"/>
        <v>325720.61</v>
      </c>
      <c r="O317" s="93">
        <f t="shared" ca="1" si="144"/>
        <v>74.196038724373579</v>
      </c>
      <c r="P317" s="93">
        <f t="shared" ca="1" si="145"/>
        <v>74.196038724373579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439000</v>
      </c>
      <c r="M318" s="498">
        <f t="shared" ca="1" si="147"/>
        <v>439000</v>
      </c>
      <c r="N318" s="498">
        <f t="shared" ca="1" si="147"/>
        <v>325720.61</v>
      </c>
      <c r="O318" s="498">
        <f t="shared" ca="1" si="144"/>
        <v>74.196038724373579</v>
      </c>
      <c r="P318" s="498">
        <f t="shared" ca="1" si="145"/>
        <v>74.196038724373579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IFERROR(__xludf.DUMMYFUNCTION("IMPORTRANGE(""https://docs.google.com/spreadsheets/d/1MeEWN-I1oV_STSDYn1IFDPWt_1FKiwhDph83XaGc0o0/edit?usp=sharing"",""งบพรบ!EC88"")"),439000)</f>
        <v>439000</v>
      </c>
      <c r="M320" s="93">
        <f ca="1">IFERROR(__xludf.DUMMYFUNCTION("IMPORTRANGE(""https://docs.google.com/spreadsheets/d/1MeEWN-I1oV_STSDYn1IFDPWt_1FKiwhDph83XaGc0o0/edit?usp=sharing"",""งบพรบ!EH88"")"),439000)</f>
        <v>439000</v>
      </c>
      <c r="N320" s="93">
        <f ca="1">IFERROR(__xludf.DUMMYFUNCTION("IMPORTRANGE(""https://docs.google.com/spreadsheets/d/1MeEWN-I1oV_STSDYn1IFDPWt_1FKiwhDph83XaGc0o0/edit?usp=sharing"",""งบพรบ!EJ88"")"),325720.61)</f>
        <v>325720.61</v>
      </c>
      <c r="O320" s="93">
        <f t="shared" ca="1" si="144"/>
        <v>74.196038724373579</v>
      </c>
      <c r="P320" s="93">
        <f t="shared" ca="1" si="145"/>
        <v>74.196038724373579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IFERROR(__xludf.DUMMYFUNCTION("IMPORTRANGE(""https://docs.google.com/spreadsheets/d/1MeEWN-I1oV_STSDYn1IFDPWt_1FKiwhDph83XaGc0o0/edit?usp=sharing"",""งบพรบ!EF88"")"),0)</f>
        <v>0</v>
      </c>
      <c r="M323" s="93">
        <f ca="1">IFERROR(__xludf.DUMMYFUNCTION("IMPORTRANGE(""https://docs.google.com/spreadsheets/d/1MeEWN-I1oV_STSDYn1IFDPWt_1FKiwhDph83XaGc0o0/edit?usp=sharing"",""งบพรบ!EI88"")"),0)</f>
        <v>0</v>
      </c>
      <c r="N323" s="93">
        <f ca="1">IFERROR(__xludf.DUMMYFUNCTION("IMPORTRANGE(""https://docs.google.com/spreadsheets/d/1MeEWN-I1oV_STSDYn1IFDPWt_1FKiwhDph83XaGc0o0/edit?usp=sharing"",""งบพรบ!EK88"")"),0)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IFERROR(__xludf.DUMMYFUNCTION("IMPORTRANGE(""https://docs.google.com/spreadsheets/d/1QqKyyYR6Q21VydFLVH3TRQUabQu_ym0Zz7PgGX0-kHA/edit?usp=sharing"",""แผน!EF88"")"),1)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IFERROR(__xludf.DUMMYFUNCTION("IMPORTRANGE(""https://docs.google.com/spreadsheets/d/1QqKyyYR6Q21VydFLVH3TRQUabQu_ym0Zz7PgGX0-kHA/edit?usp=sharing"",""แผน!EG88"")"),4800)</f>
        <v>4800</v>
      </c>
      <c r="J327" s="445">
        <f ca="1">J338+J341+J342+J343</f>
        <v>11551</v>
      </c>
      <c r="K327" s="446">
        <f ca="1">IF(I327&gt;0,J327*100/I327,0)</f>
        <v>240.64583333333334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179000</v>
      </c>
      <c r="M328" s="155">
        <f t="shared" ca="1" si="149"/>
        <v>181500</v>
      </c>
      <c r="N328" s="155">
        <f t="shared" ca="1" si="149"/>
        <v>130604.58</v>
      </c>
      <c r="O328" s="155">
        <f t="shared" ref="O328:O336" ca="1" si="150">IF(L328&gt;0,N328*100/L328,0)</f>
        <v>72.963452513966487</v>
      </c>
      <c r="P328" s="155">
        <f t="shared" ref="P328:P336" ca="1" si="151">IF(M328&gt;0,N328*100/M328,0)</f>
        <v>71.958446280991737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179000</v>
      </c>
      <c r="M330" s="93">
        <f t="shared" ca="1" si="152"/>
        <v>181500</v>
      </c>
      <c r="N330" s="93">
        <f t="shared" ca="1" si="152"/>
        <v>130604.58</v>
      </c>
      <c r="O330" s="93">
        <f t="shared" ca="1" si="150"/>
        <v>72.963452513966487</v>
      </c>
      <c r="P330" s="93">
        <f t="shared" ca="1" si="151"/>
        <v>71.958446280991737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179000</v>
      </c>
      <c r="M331" s="498">
        <f t="shared" ca="1" si="153"/>
        <v>181500</v>
      </c>
      <c r="N331" s="498">
        <f t="shared" ca="1" si="153"/>
        <v>130604.58</v>
      </c>
      <c r="O331" s="498">
        <f t="shared" ca="1" si="150"/>
        <v>72.963452513966487</v>
      </c>
      <c r="P331" s="498">
        <f t="shared" ca="1" si="151"/>
        <v>71.958446280991737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IFERROR(__xludf.DUMMYFUNCTION("IMPORTRANGE(""https://docs.google.com/spreadsheets/d/1MeEWN-I1oV_STSDYn1IFDPWt_1FKiwhDph83XaGc0o0/edit?usp=sharing"",""งบพรบ!EM88"")"),179000)</f>
        <v>179000</v>
      </c>
      <c r="M333" s="93">
        <f ca="1">IFERROR(__xludf.DUMMYFUNCTION("IMPORTRANGE(""https://docs.google.com/spreadsheets/d/1MeEWN-I1oV_STSDYn1IFDPWt_1FKiwhDph83XaGc0o0/edit?usp=sharing"",""งบพรบ!ER88"")"),181500)</f>
        <v>181500</v>
      </c>
      <c r="N333" s="93">
        <f ca="1">IFERROR(__xludf.DUMMYFUNCTION("IMPORTRANGE(""https://docs.google.com/spreadsheets/d/1MeEWN-I1oV_STSDYn1IFDPWt_1FKiwhDph83XaGc0o0/edit?usp=sharing"",""งบพรบ!ET88"")"),130604.58)</f>
        <v>130604.58</v>
      </c>
      <c r="O333" s="93">
        <f t="shared" ca="1" si="150"/>
        <v>72.963452513966487</v>
      </c>
      <c r="P333" s="93">
        <f t="shared" ca="1" si="151"/>
        <v>71.958446280991737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IFERROR(__xludf.DUMMYFUNCTION("IMPORTRANGE(""https://docs.google.com/spreadsheets/d/1MeEWN-I1oV_STSDYn1IFDPWt_1FKiwhDph83XaGc0o0/edit?usp=sharing"",""งบพรบ!EP88"")"),0)</f>
        <v>0</v>
      </c>
      <c r="M336" s="93">
        <f ca="1">IFERROR(__xludf.DUMMYFUNCTION("IMPORTRANGE(""https://docs.google.com/spreadsheets/d/1MeEWN-I1oV_STSDYn1IFDPWt_1FKiwhDph83XaGc0o0/edit?usp=sharing"",""งบพรบ!ES88"")"),0)</f>
        <v>0</v>
      </c>
      <c r="N336" s="93">
        <f ca="1">IFERROR(__xludf.DUMMYFUNCTION("IMPORTRANGE(""https://docs.google.com/spreadsheets/d/1MeEWN-I1oV_STSDYn1IFDPWt_1FKiwhDph83XaGc0o0/edit?usp=sharing"",""งบพรบ!EU88"")"),0)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IFERROR(__xludf.DUMMYFUNCTION("IMPORTRANGE(""https://docs.google.com/spreadsheets/d/1QqKyyYR6Q21VydFLVH3TRQUabQu_ym0Zz7PgGX0-kHA/edit?usp=sharing"",""แผน!EG88"")"),4800)</f>
        <v>4800</v>
      </c>
      <c r="J338" s="270">
        <f ca="1">IFERROR(__xludf.DUMMYFUNCTION("IMPORTRANGE(""https://docs.google.com/spreadsheets/d/1kVcqe37tkHyjCSG3S0O1AXqVkqjo8mSIZil3BcpIysc/edit?usp=sharing"",""ศูนย์!D88"")"),11201)</f>
        <v>11201</v>
      </c>
      <c r="K338" s="498">
        <f ca="1">IF(I338&gt;0,J338*100/I338,0)</f>
        <v>233.35416666666666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IFERROR(__xludf.DUMMYFUNCTION("IMPORTRANGE(""https://docs.google.com/spreadsheets/d/1QqKyyYR6Q21VydFLVH3TRQUabQu_ym0Zz7PgGX0-kHA/edit?usp=sharing"",""แผน!EH88"")"),8)</f>
        <v>8</v>
      </c>
      <c r="J340" s="270">
        <f ca="1">IFERROR(__xludf.DUMMYFUNCTION("IMPORTRANGE(""https://docs.google.com/spreadsheets/d/1kVcqe37tkHyjCSG3S0O1AXqVkqjo8mSIZil3BcpIysc/edit?usp=sharing"",""ศูนย์!E88"")"),8)</f>
        <v>8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IFERROR(__xludf.DUMMYFUNCTION("IMPORTRANGE(""https://docs.google.com/spreadsheets/d/1kVcqe37tkHyjCSG3S0O1AXqVkqjo8mSIZil3BcpIysc/edit?usp=sharing"",""ศูนย์!F88"")"),337)</f>
        <v>337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IFERROR(__xludf.DUMMYFUNCTION("IMPORTRANGE(""https://docs.google.com/spreadsheets/d/1kVcqe37tkHyjCSG3S0O1AXqVkqjo8mSIZil3BcpIysc/edit?usp=sharing"",""ศูนย์!G88"")"),0)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IFERROR(__xludf.DUMMYFUNCTION("IMPORTRANGE(""https://docs.google.com/spreadsheets/d/1kVcqe37tkHyjCSG3S0O1AXqVkqjo8mSIZil3BcpIysc/edit?usp=sharing"",""ศูนย์!H88"")"),13)</f>
        <v>13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1438760</v>
      </c>
      <c r="M345" s="155">
        <f t="shared" ca="1" si="155"/>
        <v>1517560</v>
      </c>
      <c r="N345" s="155">
        <f t="shared" ca="1" si="155"/>
        <v>1161845.01</v>
      </c>
      <c r="O345" s="155">
        <f t="shared" ref="O345:O353" ca="1" si="156">IF(L345&gt;0,N345*100/L345,0)</f>
        <v>80.753218743918367</v>
      </c>
      <c r="P345" s="155">
        <f t="shared" ref="P345:P353" ca="1" si="157">IF(M345&gt;0,N345*100/M345,0)</f>
        <v>76.560070771501614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1438760</v>
      </c>
      <c r="M347" s="93">
        <f t="shared" ca="1" si="158"/>
        <v>1517560</v>
      </c>
      <c r="N347" s="93">
        <f t="shared" ca="1" si="158"/>
        <v>1161845.01</v>
      </c>
      <c r="O347" s="93">
        <f t="shared" ca="1" si="156"/>
        <v>80.753218743918367</v>
      </c>
      <c r="P347" s="93">
        <f t="shared" ca="1" si="157"/>
        <v>76.560070771501614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1287160</v>
      </c>
      <c r="M348" s="498">
        <f t="shared" ca="1" si="159"/>
        <v>1387160</v>
      </c>
      <c r="N348" s="498">
        <f t="shared" ca="1" si="159"/>
        <v>1031445.01</v>
      </c>
      <c r="O348" s="498">
        <f t="shared" ca="1" si="156"/>
        <v>80.133395226700642</v>
      </c>
      <c r="P348" s="498">
        <f t="shared" ca="1" si="157"/>
        <v>74.356599815450267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IFERROR(__xludf.DUMMYFUNCTION("IMPORTRANGE(""https://docs.google.com/spreadsheets/d/1MeEWN-I1oV_STSDYn1IFDPWt_1FKiwhDph83XaGc0o0/edit?usp=sharing"",""งบพรบ!EW88"")"),1287160)</f>
        <v>1287160</v>
      </c>
      <c r="M350" s="93">
        <f ca="1">IFERROR(__xludf.DUMMYFUNCTION("IMPORTRANGE(""https://docs.google.com/spreadsheets/d/1MeEWN-I1oV_STSDYn1IFDPWt_1FKiwhDph83XaGc0o0/edit?usp=sharing"",""งบพรบ!FB88"")"),1387160)</f>
        <v>1387160</v>
      </c>
      <c r="N350" s="93">
        <f ca="1">IFERROR(__xludf.DUMMYFUNCTION("IMPORTRANGE(""https://docs.google.com/spreadsheets/d/1MeEWN-I1oV_STSDYn1IFDPWt_1FKiwhDph83XaGc0o0/edit?usp=sharing"",""งบพรบ!FD88"")"),1031445.01)</f>
        <v>1031445.01</v>
      </c>
      <c r="O350" s="93">
        <f t="shared" ca="1" si="156"/>
        <v>80.133395226700642</v>
      </c>
      <c r="P350" s="93">
        <f t="shared" ca="1" si="157"/>
        <v>74.356599815450267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151600</v>
      </c>
      <c r="M351" s="498">
        <f t="shared" ca="1" si="160"/>
        <v>130400</v>
      </c>
      <c r="N351" s="498">
        <f t="shared" ca="1" si="160"/>
        <v>130400</v>
      </c>
      <c r="O351" s="498">
        <f t="shared" ca="1" si="156"/>
        <v>86.01583113456465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IFERROR(__xludf.DUMMYFUNCTION("IMPORTRANGE(""https://docs.google.com/spreadsheets/d/1MeEWN-I1oV_STSDYn1IFDPWt_1FKiwhDph83XaGc0o0/edit?usp=sharing"",""งบพรบ!EZ88"")"),151600)</f>
        <v>151600</v>
      </c>
      <c r="M353" s="93">
        <f ca="1">IFERROR(__xludf.DUMMYFUNCTION("IMPORTRANGE(""https://docs.google.com/spreadsheets/d/1MeEWN-I1oV_STSDYn1IFDPWt_1FKiwhDph83XaGc0o0/edit?usp=sharing"",""งบพรบ!FC88"")"),130400)</f>
        <v>130400</v>
      </c>
      <c r="N353" s="93">
        <f ca="1">IFERROR(__xludf.DUMMYFUNCTION("IMPORTRANGE(""https://docs.google.com/spreadsheets/d/1MeEWN-I1oV_STSDYn1IFDPWt_1FKiwhDph83XaGc0o0/edit?usp=sharing"",""งบพรบ!FE88"")"),130400)</f>
        <v>130400</v>
      </c>
      <c r="O353" s="93">
        <f t="shared" ca="1" si="156"/>
        <v>86.01583113456465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IFERROR(__xludf.DUMMYFUNCTION("IMPORTRANGE(""https://docs.google.com/spreadsheets/d/1QqKyyYR6Q21VydFLVH3TRQUabQu_ym0Zz7PgGX0-kHA/edit?usp=sharing"",""แผน!EP88"")"),500)</f>
        <v>500</v>
      </c>
      <c r="J355" s="465">
        <f ca="1">J362</f>
        <v>330</v>
      </c>
      <c r="K355" s="466">
        <f ca="1">IF(I355&gt;0,J355*100/I355,0)</f>
        <v>66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IFERROR(__xludf.DUMMYFUNCTION("IMPORTRANGE(""https://docs.google.com/spreadsheets/d/1XWAQStnk-4SwqDmLtmXYiTMKHgktTP8We1SCoS47DrQ/edit?usp=sharing"",""จัดที่ดิน!W88"")"),574)</f>
        <v>574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IFERROR(__xludf.DUMMYFUNCTION("IMPORTRANGE(""https://docs.google.com/spreadsheets/d/1QqKyyYR6Q21VydFLVH3TRQUabQu_ym0Zz7PgGX0-kHA/edit?usp=sharing"",""แผน!EO88"")"),5000)</f>
        <v>5000</v>
      </c>
      <c r="J359" s="270">
        <f ca="1">IFERROR(__xludf.DUMMYFUNCTION("IMPORTRANGE(""https://docs.google.com/spreadsheets/d/1XWAQStnk-4SwqDmLtmXYiTMKHgktTP8We1SCoS47DrQ/edit?usp=sharing"",""จัดที่ดิน!X88"")"),6580.18)</f>
        <v>6580.18</v>
      </c>
      <c r="K359" s="498">
        <f t="shared" ca="1" si="161"/>
        <v>131.6036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IFERROR(__xludf.DUMMYFUNCTION("IMPORTRANGE(""https://docs.google.com/spreadsheets/d/1QqKyyYR6Q21VydFLVH3TRQUabQu_ym0Zz7PgGX0-kHA/edit?usp=sharing"",""แผน!EP88"")"),500)</f>
        <v>500</v>
      </c>
      <c r="J360" s="270">
        <f ca="1">IFERROR(__xludf.DUMMYFUNCTION("IMPORTRANGE(""https://docs.google.com/spreadsheets/d/1XWAQStnk-4SwqDmLtmXYiTMKHgktTP8We1SCoS47DrQ/edit?usp=sharing"",""จัดที่ดิน!Y88"")"),499)</f>
        <v>499</v>
      </c>
      <c r="K360" s="498">
        <f t="shared" ca="1" si="161"/>
        <v>99.8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IFERROR(__xludf.DUMMYFUNCTION("IMPORTRANGE(""https://docs.google.com/spreadsheets/d/1XWAQStnk-4SwqDmLtmXYiTMKHgktTP8We1SCoS47DrQ/edit?usp=sharing"",""จัดที่ดิน!Z88"")"),5555.63999999999)</f>
        <v>5555.6399999999903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IFERROR(__xludf.DUMMYFUNCTION("IMPORTRANGE(""https://docs.google.com/spreadsheets/d/1QqKyyYR6Q21VydFLVH3TRQUabQu_ym0Zz7PgGX0-kHA/edit?usp=sharing"",""แผน!EP88"")"),500)</f>
        <v>500</v>
      </c>
      <c r="J362" s="270">
        <f ca="1">IFERROR(__xludf.DUMMYFUNCTION("IMPORTRANGE(""https://docs.google.com/spreadsheets/d/1XWAQStnk-4SwqDmLtmXYiTMKHgktTP8We1SCoS47DrQ/edit?usp=sharing"",""จัดที่ดิน!AA88"")"),330)</f>
        <v>330</v>
      </c>
      <c r="K362" s="498">
        <f t="shared" ca="1" si="161"/>
        <v>66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IFERROR(__xludf.DUMMYFUNCTION("IMPORTRANGE(""https://docs.google.com/spreadsheets/d/1XWAQStnk-4SwqDmLtmXYiTMKHgktTP8We1SCoS47DrQ/edit?usp=sharing"",""จัดที่ดิน!AB88"")"),3428.02)</f>
        <v>3428.02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800</v>
      </c>
      <c r="J364" s="479">
        <f t="shared" ca="1" si="162"/>
        <v>1003</v>
      </c>
      <c r="K364" s="480">
        <f t="shared" ca="1" si="161"/>
        <v>125.375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IFERROR(__xludf.DUMMYFUNCTION("IMPORTRANGE(""https://docs.google.com/spreadsheets/d/1QqKyyYR6Q21VydFLVH3TRQUabQu_ym0Zz7PgGX0-kHA/edit?usp=sharing"",""แผน!EJ88"")"),150)</f>
        <v>150</v>
      </c>
      <c r="J365" s="491">
        <f ca="1">J372</f>
        <v>121</v>
      </c>
      <c r="K365" s="492">
        <f t="shared" ca="1" si="161"/>
        <v>80.666666666666671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IFERROR(__xludf.DUMMYFUNCTION("IMPORTRANGE(""https://docs.google.com/spreadsheets/d/1XWAQStnk-4SwqDmLtmXYiTMKHgktTP8We1SCoS47DrQ/edit?usp=sharing"",""จัดที่ดิน!E88"")"),226)</f>
        <v>226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IFERROR(__xludf.DUMMYFUNCTION("IMPORTRANGE(""https://docs.google.com/spreadsheets/d/1QqKyyYR6Q21VydFLVH3TRQUabQu_ym0Zz7PgGX0-kHA/edit?usp=sharing"",""แผน!EI88"")"),1500)</f>
        <v>1500</v>
      </c>
      <c r="J369" s="270">
        <f ca="1">IFERROR(__xludf.DUMMYFUNCTION("IMPORTRANGE(""https://docs.google.com/spreadsheets/d/1XWAQStnk-4SwqDmLtmXYiTMKHgktTP8We1SCoS47DrQ/edit?usp=sharing"",""จัดที่ดิน!F88"")"),2629.32)</f>
        <v>2629.32</v>
      </c>
      <c r="K369" s="498">
        <f t="shared" ca="1" si="163"/>
        <v>175.28800000000001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IFERROR(__xludf.DUMMYFUNCTION("IMPORTRANGE(""https://docs.google.com/spreadsheets/d/1QqKyyYR6Q21VydFLVH3TRQUabQu_ym0Zz7PgGX0-kHA/edit?usp=sharing"",""แผน!EJ88"")"),150)</f>
        <v>150</v>
      </c>
      <c r="J370" s="270">
        <f ca="1">IFERROR(__xludf.DUMMYFUNCTION("IMPORTRANGE(""https://docs.google.com/spreadsheets/d/1XWAQStnk-4SwqDmLtmXYiTMKHgktTP8We1SCoS47DrQ/edit?usp=sharing"",""จัดที่ดิน!G88"")"),213)</f>
        <v>213</v>
      </c>
      <c r="K370" s="498">
        <f t="shared" ca="1" si="163"/>
        <v>142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IFERROR(__xludf.DUMMYFUNCTION("IMPORTRANGE(""https://docs.google.com/spreadsheets/d/1XWAQStnk-4SwqDmLtmXYiTMKHgktTP8We1SCoS47DrQ/edit?usp=sharing"",""จัดที่ดิน!H88"")"),2477.74)</f>
        <v>2477.7399999999998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IFERROR(__xludf.DUMMYFUNCTION("IMPORTRANGE(""https://docs.google.com/spreadsheets/d/1QqKyyYR6Q21VydFLVH3TRQUabQu_ym0Zz7PgGX0-kHA/edit?usp=sharing"",""แผน!EJ88"")"),150)</f>
        <v>150</v>
      </c>
      <c r="J372" s="270">
        <f ca="1">IFERROR(__xludf.DUMMYFUNCTION("IMPORTRANGE(""https://docs.google.com/spreadsheets/d/1XWAQStnk-4SwqDmLtmXYiTMKHgktTP8We1SCoS47DrQ/edit?usp=sharing"",""จัดที่ดิน!I88"")"),121)</f>
        <v>121</v>
      </c>
      <c r="K372" s="498">
        <f t="shared" ca="1" si="163"/>
        <v>80.666666666666671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IFERROR(__xludf.DUMMYFUNCTION("IMPORTRANGE(""https://docs.google.com/spreadsheets/d/1XWAQStnk-4SwqDmLtmXYiTMKHgktTP8We1SCoS47DrQ/edit?usp=sharing"",""จัดที่ดิน!J88"")"),1155.91)</f>
        <v>1155.9100000000001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IFERROR(__xludf.DUMMYFUNCTION("IMPORTRANGE(""https://docs.google.com/spreadsheets/d/1QqKyyYR6Q21VydFLVH3TRQUabQu_ym0Zz7PgGX0-kHA/edit?usp=sharing"",""แผน!EU88"")"),650)</f>
        <v>650</v>
      </c>
      <c r="J374" s="491">
        <f ca="1">J381</f>
        <v>882</v>
      </c>
      <c r="K374" s="492">
        <f t="shared" ca="1" si="163"/>
        <v>135.69230769230768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IFERROR(__xludf.DUMMYFUNCTION("IMPORTRANGE(""https://docs.google.com/spreadsheets/d/1XWAQStnk-4SwqDmLtmXYiTMKHgktTP8We1SCoS47DrQ/edit?usp=sharing"",""จัดที่ดิน!AH88"")"),348)</f>
        <v>348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IFERROR(__xludf.DUMMYFUNCTION("IMPORTRANGE(""https://docs.google.com/spreadsheets/d/1QqKyyYR6Q21VydFLVH3TRQUabQu_ym0Zz7PgGX0-kHA/edit?usp=sharing"",""แผน!ET88"")"),3500)</f>
        <v>3500</v>
      </c>
      <c r="J378" s="270">
        <f ca="1">IFERROR(__xludf.DUMMYFUNCTION("IMPORTRANGE(""https://docs.google.com/spreadsheets/d/1XWAQStnk-4SwqDmLtmXYiTMKHgktTP8We1SCoS47DrQ/edit?usp=sharing"",""จัดที่ดิน!AI88"")"),3950.86)</f>
        <v>3950.86</v>
      </c>
      <c r="K378" s="498">
        <f t="shared" ca="1" si="164"/>
        <v>112.88171428571428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IFERROR(__xludf.DUMMYFUNCTION("IMPORTRANGE(""https://docs.google.com/spreadsheets/d/1QqKyyYR6Q21VydFLVH3TRQUabQu_ym0Zz7PgGX0-kHA/edit?usp=sharing"",""แผน!EU88"")"),650)</f>
        <v>650</v>
      </c>
      <c r="J379" s="270">
        <f ca="1">IFERROR(__xludf.DUMMYFUNCTION("IMPORTRANGE(""https://docs.google.com/spreadsheets/d/1XWAQStnk-4SwqDmLtmXYiTMKHgktTP8We1SCoS47DrQ/edit?usp=sharing"",""จัดที่ดิน!AJ88"")"),960)</f>
        <v>960</v>
      </c>
      <c r="K379" s="498">
        <f t="shared" ca="1" si="164"/>
        <v>147.69230769230768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IFERROR(__xludf.DUMMYFUNCTION("IMPORTRANGE(""https://docs.google.com/spreadsheets/d/1XWAQStnk-4SwqDmLtmXYiTMKHgktTP8We1SCoS47DrQ/edit?usp=sharing"",""จัดที่ดิน!AK88"")"),13505.1)</f>
        <v>13505.1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IFERROR(__xludf.DUMMYFUNCTION("IMPORTRANGE(""https://docs.google.com/spreadsheets/d/1QqKyyYR6Q21VydFLVH3TRQUabQu_ym0Zz7PgGX0-kHA/edit?usp=sharing"",""แผน!EU88"")"),650)</f>
        <v>650</v>
      </c>
      <c r="J381" s="270">
        <f ca="1">IFERROR(__xludf.DUMMYFUNCTION("IMPORTRANGE(""https://docs.google.com/spreadsheets/d/1XWAQStnk-4SwqDmLtmXYiTMKHgktTP8We1SCoS47DrQ/edit?usp=sharing"",""จัดที่ดิน!AL88"")"),882)</f>
        <v>882</v>
      </c>
      <c r="K381" s="498">
        <f t="shared" ca="1" si="164"/>
        <v>135.69230769230768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IFERROR(__xludf.DUMMYFUNCTION("IMPORTRANGE(""https://docs.google.com/spreadsheets/d/1XWAQStnk-4SwqDmLtmXYiTMKHgktTP8We1SCoS47DrQ/edit?usp=sharing"",""จัดที่ดิน!AM88"")"),12680.25)</f>
        <v>12680.25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IFERROR(__xludf.DUMMYFUNCTION("IMPORTRANGE(""https://docs.google.com/spreadsheets/d/1QqKyyYR6Q21VydFLVH3TRQUabQu_ym0Zz7PgGX0-kHA/edit?usp=sharing"",""แผน!EW88"")"),150)</f>
        <v>150</v>
      </c>
      <c r="J385" s="505">
        <f ca="1">IFERROR(__xludf.DUMMYFUNCTION("IMPORTRANGE(""https://docs.google.com/spreadsheets/d/1XWAQStnk-4SwqDmLtmXYiTMKHgktTP8We1SCoS47DrQ/edit?usp=sharing"",""จัดที่ดิน!AP88"")"),95)</f>
        <v>95</v>
      </c>
      <c r="K385" s="506">
        <f ca="1">IF(I385&gt;0,J385*100/I385,0)</f>
        <v>63.333333333333336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IFERROR(__xludf.DUMMYFUNCTION("IMPORTRANGE(""https://docs.google.com/spreadsheets/d/1MeEWN-I1oV_STSDYn1IFDPWt_1FKiwhDph83XaGc0o0/edit?usp=sharing"",""งบพรบ!FG88"")"),0)</f>
        <v>0</v>
      </c>
      <c r="M394" s="93">
        <f ca="1">IFERROR(__xludf.DUMMYFUNCTION("IMPORTRANGE(""https://docs.google.com/spreadsheets/d/1MeEWN-I1oV_STSDYn1IFDPWt_1FKiwhDph83XaGc0o0/edit?usp=sharing"",""งบพรบ!FL88"")"),0)</f>
        <v>0</v>
      </c>
      <c r="N394" s="93">
        <f ca="1">IFERROR(__xludf.DUMMYFUNCTION("IMPORTRANGE(""https://docs.google.com/spreadsheets/d/1MeEWN-I1oV_STSDYn1IFDPWt_1FKiwhDph83XaGc0o0/edit?usp=sharing"",""งบพรบ!FN88"")"),0)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IFERROR(__xludf.DUMMYFUNCTION("IMPORTRANGE(""https://docs.google.com/spreadsheets/d/1MeEWN-I1oV_STSDYn1IFDPWt_1FKiwhDph83XaGc0o0/edit?usp=sharing"",""งบพรบ!FJ88"")"),0)</f>
        <v>0</v>
      </c>
      <c r="M397" s="93">
        <f ca="1">IFERROR(__xludf.DUMMYFUNCTION("IMPORTRANGE(""https://docs.google.com/spreadsheets/d/1MeEWN-I1oV_STSDYn1IFDPWt_1FKiwhDph83XaGc0o0/edit?usp=sharing"",""งบพรบ!FM88"")"),0)</f>
        <v>0</v>
      </c>
      <c r="N397" s="93">
        <f ca="1">IFERROR(__xludf.DUMMYFUNCTION("IMPORTRANGE(""https://docs.google.com/spreadsheets/d/1MeEWN-I1oV_STSDYn1IFDPWt_1FKiwhDph83XaGc0o0/edit?usp=sharing"",""งบพรบ!FO88"")"),0)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IFERROR(__xludf.DUMMYFUNCTION("IMPORTRANGE(""https://docs.google.com/spreadsheets/d/1MeEWN-I1oV_STSDYn1IFDPWt_1FKiwhDph83XaGc0o0/edit?usp=sharing"",""งบพรบ!FQ88"")"),0)</f>
        <v>0</v>
      </c>
      <c r="M407" s="93">
        <f ca="1">IFERROR(__xludf.DUMMYFUNCTION("IMPORTRANGE(""https://docs.google.com/spreadsheets/d/1MeEWN-I1oV_STSDYn1IFDPWt_1FKiwhDph83XaGc0o0/edit?usp=sharing"",""งบพรบ!FV88"")"),0)</f>
        <v>0</v>
      </c>
      <c r="N407" s="93">
        <f ca="1">IFERROR(__xludf.DUMMYFUNCTION("IMPORTRANGE(""https://docs.google.com/spreadsheets/d/1MeEWN-I1oV_STSDYn1IFDPWt_1FKiwhDph83XaGc0o0/edit?usp=sharing"",""งบพรบ!FX88"")"),0)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IFERROR(__xludf.DUMMYFUNCTION("IMPORTRANGE(""https://docs.google.com/spreadsheets/d/1MeEWN-I1oV_STSDYn1IFDPWt_1FKiwhDph83XaGc0o0/edit?usp=sharing"",""งบพรบ!FT88"")"),0)</f>
        <v>0</v>
      </c>
      <c r="M410" s="93">
        <f ca="1">IFERROR(__xludf.DUMMYFUNCTION("IMPORTRANGE(""https://docs.google.com/spreadsheets/d/1MeEWN-I1oV_STSDYn1IFDPWt_1FKiwhDph83XaGc0o0/edit?usp=sharing"",""งบพรบ!FW88"")"),0)</f>
        <v>0</v>
      </c>
      <c r="N410" s="93">
        <f ca="1">IFERROR(__xludf.DUMMYFUNCTION("IMPORTRANGE(""https://docs.google.com/spreadsheets/d/1MeEWN-I1oV_STSDYn1IFDPWt_1FKiwhDph83XaGc0o0/edit?usp=sharing"",""งบพรบ!FY88"")"),0)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2095088</v>
      </c>
      <c r="M414" s="553">
        <f t="shared" ca="1" si="181"/>
        <v>2494783</v>
      </c>
      <c r="N414" s="553">
        <f t="shared" si="181"/>
        <v>2213851.35</v>
      </c>
      <c r="O414" s="553">
        <f ca="1">IF(L414&gt;0,N414*100/L414,0)</f>
        <v>105.66865687741995</v>
      </c>
      <c r="P414" s="553">
        <f ca="1">IF(M414&gt;0,N414*100/M414,0)</f>
        <v>88.739235035672436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45</v>
      </c>
      <c r="J417" s="569">
        <f t="shared" ca="1" si="182"/>
        <v>45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2</v>
      </c>
      <c r="J418" s="569">
        <f t="shared" si="182"/>
        <v>2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149040</v>
      </c>
      <c r="M419" s="155">
        <f t="shared" ca="1" si="184"/>
        <v>149040</v>
      </c>
      <c r="N419" s="155">
        <f t="shared" si="184"/>
        <v>144817</v>
      </c>
      <c r="O419" s="155">
        <f t="shared" ref="O419:O424" ca="1" si="185">IF(L419&gt;0,N419*100/L419,0)</f>
        <v>97.166532474503484</v>
      </c>
      <c r="P419" s="155">
        <f t="shared" ref="P419:P424" ca="1" si="186">IF(M419&gt;0,N419*100/M419,0)</f>
        <v>97.166532474503484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149040</v>
      </c>
      <c r="M421" s="93">
        <f t="shared" ca="1" si="187"/>
        <v>149040</v>
      </c>
      <c r="N421" s="93">
        <f t="shared" si="187"/>
        <v>144817</v>
      </c>
      <c r="O421" s="93">
        <f t="shared" ca="1" si="185"/>
        <v>97.166532474503484</v>
      </c>
      <c r="P421" s="93">
        <f t="shared" ca="1" si="186"/>
        <v>97.166532474503484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149040</v>
      </c>
      <c r="M422" s="498">
        <f t="shared" ca="1" si="188"/>
        <v>149040</v>
      </c>
      <c r="N422" s="498">
        <f t="shared" si="188"/>
        <v>144817</v>
      </c>
      <c r="O422" s="498">
        <f t="shared" ca="1" si="185"/>
        <v>97.166532474503484</v>
      </c>
      <c r="P422" s="498">
        <f t="shared" ca="1" si="186"/>
        <v>97.166532474503484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IFERROR(__xludf.DUMMYFUNCTION("IMPORTRANGE(""https://docs.google.com/spreadsheets/d/1QqKyyYR6Q21VydFLVH3TRQUabQu_ym0Zz7PgGX0-kHA/edit?usp=sharing"",""แผน!EY88"")"),149040)</f>
        <v>149040</v>
      </c>
      <c r="M424" s="93">
        <f ca="1">L424</f>
        <v>149040</v>
      </c>
      <c r="N424" s="93">
        <f>N425+N426+N427+N428</f>
        <v>144817</v>
      </c>
      <c r="O424" s="93">
        <f t="shared" ca="1" si="185"/>
        <v>97.166532474503484</v>
      </c>
      <c r="P424" s="93">
        <f t="shared" ca="1" si="186"/>
        <v>97.166532474503484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f>77780+24000+17000</f>
        <v>118780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1080+480+3740+20737</f>
        <v>26037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45</v>
      </c>
      <c r="J433" s="680">
        <f ca="1">IF(AND(J435=I435,J437=I437,J439=I439),I437+I439,IF(AND(J435=I437,J437=I437),I437,IF(AND(J435=I439,J439=I439),I439,0)))</f>
        <v>45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2</v>
      </c>
      <c r="J434" s="680">
        <f t="shared" si="193"/>
        <v>2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IFERROR(__xludf.DUMMYFUNCTION("IMPORTRANGE(""https://docs.google.com/spreadsheets/d/1QqKyyYR6Q21VydFLVH3TRQUabQu_ym0Zz7PgGX0-kHA/edit?usp=sharing"",""แผน!FC88"")"),45)</f>
        <v>45</v>
      </c>
      <c r="J435" s="583">
        <v>45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IFERROR(__xludf.DUMMYFUNCTION("IMPORTRANGE(""https://docs.google.com/spreadsheets/d/1QqKyyYR6Q21VydFLVH3TRQUabQu_ym0Zz7PgGX0-kHA/edit?usp=sharing"",""แผน!FD88"")"),30)</f>
        <v>30</v>
      </c>
      <c r="J437" s="583">
        <v>30</v>
      </c>
      <c r="K437" s="498">
        <f t="shared" ref="K437:K443" ca="1" si="194">IF(I437&gt;0,J437*100/I437,0)</f>
        <v>100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IFERROR(__xludf.DUMMYFUNCTION("IMPORTRANGE(""https://docs.google.com/spreadsheets/d/1QqKyyYR6Q21VydFLVH3TRQUabQu_ym0Zz7PgGX0-kHA/edit?usp=sharing"",""แผน!FE88"")"),1)</f>
        <v>1</v>
      </c>
      <c r="J438" s="215">
        <v>1</v>
      </c>
      <c r="K438" s="498">
        <f t="shared" ca="1" si="194"/>
        <v>100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IFERROR(__xludf.DUMMYFUNCTION("IMPORTRANGE(""https://docs.google.com/spreadsheets/d/1QqKyyYR6Q21VydFLVH3TRQUabQu_ym0Zz7PgGX0-kHA/edit?usp=sharing"",""แผน!FF88"")"),15)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IFERROR(__xludf.DUMMYFUNCTION("IMPORTRANGE(""https://docs.google.com/spreadsheets/d/1QqKyyYR6Q21VydFLVH3TRQUabQu_ym0Zz7PgGX0-kHA/edit?usp=sharing"",""แผน!FG88"")"),1)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IFERROR(__xludf.DUMMYFUNCTION("IMPORTRANGE(""https://docs.google.com/spreadsheets/d/1QqKyyYR6Q21VydFLVH3TRQUabQu_ym0Zz7PgGX0-kHA/edit?usp=sharing"",""แผน!FH88"")"),0)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40</v>
      </c>
      <c r="J442" s="589">
        <f t="shared" si="195"/>
        <v>40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80</v>
      </c>
      <c r="J443" s="569">
        <f t="shared" si="196"/>
        <v>80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317680</v>
      </c>
      <c r="M444" s="195">
        <f t="shared" ca="1" si="197"/>
        <v>317680</v>
      </c>
      <c r="N444" s="195">
        <f t="shared" si="197"/>
        <v>251772.05</v>
      </c>
      <c r="O444" s="195">
        <f t="shared" ref="O444:O449" ca="1" si="198">IF(L444&gt;0,N444*100/L444,0)</f>
        <v>79.253352430118355</v>
      </c>
      <c r="P444" s="195">
        <f t="shared" ref="P444:P449" ca="1" si="199">IF(M444&gt;0,N444*100/M444,0)</f>
        <v>79.253352430118355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317680</v>
      </c>
      <c r="M446" s="93">
        <f t="shared" ca="1" si="200"/>
        <v>317680</v>
      </c>
      <c r="N446" s="93">
        <f t="shared" si="200"/>
        <v>251772.05</v>
      </c>
      <c r="O446" s="93">
        <f t="shared" ca="1" si="198"/>
        <v>79.253352430118355</v>
      </c>
      <c r="P446" s="93">
        <f t="shared" ca="1" si="199"/>
        <v>79.253352430118355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317680</v>
      </c>
      <c r="M447" s="498">
        <f t="shared" ca="1" si="201"/>
        <v>317680</v>
      </c>
      <c r="N447" s="498">
        <f t="shared" si="201"/>
        <v>251772.05</v>
      </c>
      <c r="O447" s="498">
        <f t="shared" ca="1" si="198"/>
        <v>79.253352430118355</v>
      </c>
      <c r="P447" s="498">
        <f t="shared" ca="1" si="199"/>
        <v>79.253352430118355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IFERROR(__xludf.DUMMYFUNCTION("IMPORTRANGE(""https://docs.google.com/spreadsheets/d/1QqKyyYR6Q21VydFLVH3TRQUabQu_ym0Zz7PgGX0-kHA/edit?usp=sharing"",""แผน!FJ88"")"),317680)</f>
        <v>317680</v>
      </c>
      <c r="M449" s="93">
        <f ca="1">L449</f>
        <v>317680</v>
      </c>
      <c r="N449" s="93">
        <f>N450+N451+N452+N453</f>
        <v>251772.05</v>
      </c>
      <c r="O449" s="93">
        <f t="shared" ca="1" si="198"/>
        <v>79.253352430118355</v>
      </c>
      <c r="P449" s="93">
        <f t="shared" ca="1" si="199"/>
        <v>79.253352430118355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f>33511+20889</f>
        <v>54400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79000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f>23833.35+13000+13000+12566.67+12566.67+12133.34+10400.02</f>
        <v>97500.05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f>360+3730+3600+360+2300+6632+3890</f>
        <v>20872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IFERROR(__xludf.DUMMYFUNCTION("IMPORTRANGE(""https://docs.google.com/spreadsheets/d/1QqKyyYR6Q21VydFLVH3TRQUabQu_ym0Zz7PgGX0-kHA/edit?usp=sharing"",""แผน!FN88"")"),40)</f>
        <v>40</v>
      </c>
      <c r="J460" s="215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IFERROR(__xludf.DUMMYFUNCTION("IMPORTRANGE(""https://docs.google.com/spreadsheets/d/1QqKyyYR6Q21VydFLVH3TRQUabQu_ym0Zz7PgGX0-kHA/edit?usp=sharing"",""แผน!FO88"")"),80)</f>
        <v>80</v>
      </c>
      <c r="J462" s="215">
        <v>80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IFERROR(__xludf.DUMMYFUNCTION("IMPORTRANGE(""https://docs.google.com/spreadsheets/d/1QqKyyYR6Q21VydFLVH3TRQUabQu_ym0Zz7PgGX0-kHA/edit?usp=sharing"",""แผน!FO88"")"),80)</f>
        <v>80</v>
      </c>
      <c r="J463" s="215">
        <v>80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IFERROR(__xludf.DUMMYFUNCTION("IMPORTRANGE(""https://docs.google.com/spreadsheets/d/1QqKyyYR6Q21VydFLVH3TRQUabQu_ym0Zz7PgGX0-kHA/edit?usp=sharing"",""แผน!FN88"")"),40)</f>
        <v>40</v>
      </c>
      <c r="J464" s="215">
        <v>40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IFERROR(__xludf.DUMMYFUNCTION("IMPORTRANGE(""https://docs.google.com/spreadsheets/d/1QqKyyYR6Q21VydFLVH3TRQUabQu_ym0Zz7PgGX0-kHA/edit?usp=sharing"",""แผน!FX88"")"),71)</f>
        <v>71</v>
      </c>
      <c r="J465" s="589">
        <f>J485+J489+J492</f>
        <v>71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IFERROR(__xludf.DUMMYFUNCTION("IMPORTRANGE(""https://docs.google.com/spreadsheets/d/1QqKyyYR6Q21VydFLVH3TRQUabQu_ym0Zz7PgGX0-kHA/edit?usp=sharing"",""แผน!FW88"")"),700)</f>
        <v>700</v>
      </c>
      <c r="J466" s="569">
        <f>J495+J498</f>
        <v>700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570443</v>
      </c>
      <c r="M467" s="195">
        <f t="shared" ca="1" si="206"/>
        <v>570443</v>
      </c>
      <c r="N467" s="195">
        <f t="shared" si="206"/>
        <v>565733</v>
      </c>
      <c r="O467" s="195">
        <f t="shared" ref="O467:O472" ca="1" si="207">IF(L467&gt;0,N467*100/L467,0)</f>
        <v>99.174325918628156</v>
      </c>
      <c r="P467" s="195">
        <f t="shared" ref="P467:P472" ca="1" si="208">IF(M467&gt;0,N467*100/M467,0)</f>
        <v>99.174325918628156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570443</v>
      </c>
      <c r="M469" s="93">
        <f t="shared" ca="1" si="209"/>
        <v>570443</v>
      </c>
      <c r="N469" s="93">
        <f t="shared" si="209"/>
        <v>565733</v>
      </c>
      <c r="O469" s="93">
        <f t="shared" ca="1" si="207"/>
        <v>99.174325918628156</v>
      </c>
      <c r="P469" s="93">
        <f t="shared" ca="1" si="208"/>
        <v>99.174325918628156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570443</v>
      </c>
      <c r="M470" s="498">
        <f t="shared" ca="1" si="210"/>
        <v>570443</v>
      </c>
      <c r="N470" s="498">
        <f t="shared" si="210"/>
        <v>565733</v>
      </c>
      <c r="O470" s="498">
        <f t="shared" ca="1" si="207"/>
        <v>99.174325918628156</v>
      </c>
      <c r="P470" s="498">
        <f t="shared" ca="1" si="208"/>
        <v>99.174325918628156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IFERROR(__xludf.DUMMYFUNCTION("IMPORTRANGE(""https://docs.google.com/spreadsheets/d/1QqKyyYR6Q21VydFLVH3TRQUabQu_ym0Zz7PgGX0-kHA/edit?usp=sharing"",""แผน!FS88"")"),570443)</f>
        <v>570443</v>
      </c>
      <c r="M472" s="93">
        <f ca="1">L472</f>
        <v>570443</v>
      </c>
      <c r="N472" s="93">
        <f>N473+N474+N475+N476</f>
        <v>565733</v>
      </c>
      <c r="O472" s="93">
        <f t="shared" ca="1" si="207"/>
        <v>99.174325918628156</v>
      </c>
      <c r="P472" s="93">
        <f t="shared" ca="1" si="208"/>
        <v>99.174325918628156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84153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434000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23780+4720+480+3400+960+1440+1540+4680+5620+960</f>
        <v>47580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IFERROR(__xludf.DUMMYFUNCTION("IMPORTRANGE(""https://docs.google.com/spreadsheets/d/1QqKyyYR6Q21VydFLVH3TRQUabQu_ym0Zz7PgGX0-kHA/edit?usp=sharing"",""แผน!FY88"")"),630)</f>
        <v>630</v>
      </c>
      <c r="J483" s="215">
        <v>630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63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IFERROR(__xludf.DUMMYFUNCTION("IMPORTRANGE(""https://docs.google.com/spreadsheets/d/1QqKyyYR6Q21VydFLVH3TRQUabQu_ym0Zz7PgGX0-kHA/edit?usp=sharing"",""แผน!FZ88"")"),63)</f>
        <v>63</v>
      </c>
      <c r="J485" s="215">
        <v>63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IFERROR(__xludf.DUMMYFUNCTION("IMPORTRANGE(""https://docs.google.com/spreadsheets/d/1QqKyyYR6Q21VydFLVH3TRQUabQu_ym0Zz7PgGX0-kHA/edit?usp=sharing"",""แผน!GA88"")"),70)</f>
        <v>70</v>
      </c>
      <c r="J487" s="215">
        <v>70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7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IFERROR(__xludf.DUMMYFUNCTION("IMPORTRANGE(""https://docs.google.com/spreadsheets/d/1QqKyyYR6Q21VydFLVH3TRQUabQu_ym0Zz7PgGX0-kHA/edit?usp=sharing"",""แผน!GB88"")"),7)</f>
        <v>7</v>
      </c>
      <c r="J489" s="215">
        <v>7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IFERROR(__xludf.DUMMYFUNCTION("IMPORTRANGE(""https://docs.google.com/spreadsheets/d/1QqKyyYR6Q21VydFLVH3TRQUabQu_ym0Zz7PgGX0-kHA/edit?usp=sharing"",""แผน!GC88"")"),1)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IFERROR(__xludf.DUMMYFUNCTION("IMPORTRANGE(""https://docs.google.com/spreadsheets/d/1QqKyyYR6Q21VydFLVH3TRQUabQu_ym0Zz7PgGX0-kHA/edit?usp=sharing"",""แผน!FY88"")"),630)</f>
        <v>630</v>
      </c>
      <c r="J495" s="215">
        <v>630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IFERROR(__xludf.DUMMYFUNCTION("IMPORTRANGE(""https://docs.google.com/spreadsheets/d/1QqKyyYR6Q21VydFLVH3TRQUabQu_ym0Zz7PgGX0-kHA/edit?usp=sharing"",""แผน!GA88"")"),70)</f>
        <v>70</v>
      </c>
      <c r="J498" s="215">
        <v>70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30</v>
      </c>
      <c r="J522" s="707">
        <f t="shared" ca="1" si="225"/>
        <v>30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277260</v>
      </c>
      <c r="M523" s="195">
        <f t="shared" ca="1" si="226"/>
        <v>277260</v>
      </c>
      <c r="N523" s="195">
        <f t="shared" si="226"/>
        <v>293030</v>
      </c>
      <c r="O523" s="195">
        <f t="shared" ref="O523:O528" ca="1" si="227">IF(L523&gt;0,N523*100/L523,0)</f>
        <v>105.68780206304552</v>
      </c>
      <c r="P523" s="195">
        <f t="shared" ref="P523:P528" ca="1" si="228">IF(M523&gt;0,N523*100/M523,0)</f>
        <v>105.68780206304552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277260</v>
      </c>
      <c r="M525" s="93">
        <f t="shared" ca="1" si="229"/>
        <v>277260</v>
      </c>
      <c r="N525" s="93">
        <f t="shared" si="229"/>
        <v>293030</v>
      </c>
      <c r="O525" s="93">
        <f t="shared" ca="1" si="227"/>
        <v>105.68780206304552</v>
      </c>
      <c r="P525" s="93">
        <f t="shared" ca="1" si="228"/>
        <v>105.68780206304552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277260</v>
      </c>
      <c r="M526" s="498">
        <f t="shared" ca="1" si="230"/>
        <v>277260</v>
      </c>
      <c r="N526" s="498">
        <f t="shared" si="230"/>
        <v>293030</v>
      </c>
      <c r="O526" s="498">
        <f t="shared" ca="1" si="227"/>
        <v>105.68780206304552</v>
      </c>
      <c r="P526" s="498">
        <f t="shared" ca="1" si="228"/>
        <v>105.68780206304552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IFERROR(__xludf.DUMMYFUNCTION("IMPORTRANGE(""https://docs.google.com/spreadsheets/d/1QqKyyYR6Q21VydFLVH3TRQUabQu_ym0Zz7PgGX0-kHA/edit?usp=sharing"",""แผน!GQ88"")"),277260)</f>
        <v>277260</v>
      </c>
      <c r="M528" s="93">
        <f ca="1">L528</f>
        <v>277260</v>
      </c>
      <c r="N528" s="93">
        <f>N529+N530+N531+N532</f>
        <v>293030</v>
      </c>
      <c r="O528" s="93">
        <f t="shared" ca="1" si="227"/>
        <v>105.68780206304552</v>
      </c>
      <c r="P528" s="93">
        <f t="shared" ca="1" si="228"/>
        <v>105.68780206304552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f>10200+3404+58096</f>
        <v>71700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f>126800+18100+5100</f>
        <v>150000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f>3700+7980+240+22800+2080+600+360+1820+31750</f>
        <v>71330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IFERROR(__xludf.DUMMYFUNCTION("IMPORTRANGE(""https://docs.google.com/spreadsheets/d/1QqKyyYR6Q21VydFLVH3TRQUabQu_ym0Zz7PgGX0-kHA/edit?usp=sharing"",""แผน!GU88"")"),30)</f>
        <v>30</v>
      </c>
      <c r="J537" s="680">
        <f ca="1">IF(AND(J538=I538,J539=I539,J540=I540,J541=I541),I537,0)</f>
        <v>30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IFERROR(__xludf.DUMMYFUNCTION("IMPORTRANGE(""https://docs.google.com/spreadsheets/d/1QqKyyYR6Q21VydFLVH3TRQUabQu_ym0Zz7PgGX0-kHA/edit?usp=sharing"",""แผน!GV88"")"),30)</f>
        <v>30</v>
      </c>
      <c r="J538" s="215">
        <v>30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IFERROR(__xludf.DUMMYFUNCTION("IMPORTRANGE(""https://docs.google.com/spreadsheets/d/1QqKyyYR6Q21VydFLVH3TRQUabQu_ym0Zz7PgGX0-kHA/edit?usp=sharing"",""แผน!GW88"")"),0)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IFERROR(__xludf.DUMMYFUNCTION("IMPORTRANGE(""https://docs.google.com/spreadsheets/d/1QqKyyYR6Q21VydFLVH3TRQUabQu_ym0Zz7PgGX0-kHA/edit?usp=sharing"",""แผน!GX88"")"),0)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IFERROR(__xludf.DUMMYFUNCTION("IMPORTRANGE(""https://docs.google.com/spreadsheets/d/1QqKyyYR6Q21VydFLVH3TRQUabQu_ym0Zz7PgGX0-kHA/edit?usp=sharing"",""แผน!GY88"")"),30)</f>
        <v>30</v>
      </c>
      <c r="J541" s="215">
        <v>30</v>
      </c>
      <c r="K541" s="498">
        <f t="shared" ca="1" si="234"/>
        <v>100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IFERROR(__xludf.DUMMYFUNCTION("IMPORTRANGE(""https://docs.google.com/spreadsheets/d/1QqKyyYR6Q21VydFLVH3TRQUabQu_ym0Zz7PgGX0-kHA/edit?usp=sharing"",""แผน!GZ88"")"),30)</f>
        <v>30</v>
      </c>
      <c r="J542" s="215">
        <v>30</v>
      </c>
      <c r="K542" s="498">
        <f t="shared" ca="1" si="234"/>
        <v>100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89214</v>
      </c>
      <c r="J543" s="686">
        <f t="shared" si="235"/>
        <v>89216</v>
      </c>
      <c r="K543" s="687">
        <f t="shared" ca="1" si="234"/>
        <v>100.00224180061426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780665</v>
      </c>
      <c r="M544" s="155">
        <f t="shared" ca="1" si="236"/>
        <v>1180360</v>
      </c>
      <c r="N544" s="155">
        <f t="shared" si="236"/>
        <v>958499.3</v>
      </c>
      <c r="O544" s="155">
        <f t="shared" ref="O544:O549" ca="1" si="237">IF(L544&gt;0,N544*100/L544,0)</f>
        <v>122.77984795014507</v>
      </c>
      <c r="P544" s="155">
        <f t="shared" ref="P544:P549" ca="1" si="238">IF(M544&gt;0,N544*100/M544,0)</f>
        <v>81.203980141651698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780665</v>
      </c>
      <c r="M546" s="93">
        <f t="shared" ca="1" si="240"/>
        <v>1180360</v>
      </c>
      <c r="N546" s="93">
        <f t="shared" si="240"/>
        <v>958499.3</v>
      </c>
      <c r="O546" s="93">
        <f t="shared" ca="1" si="237"/>
        <v>122.77984795014507</v>
      </c>
      <c r="P546" s="93">
        <f t="shared" ca="1" si="238"/>
        <v>81.203980141651698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780665</v>
      </c>
      <c r="M547" s="498">
        <f t="shared" ca="1" si="241"/>
        <v>1180360</v>
      </c>
      <c r="N547" s="498">
        <f t="shared" si="241"/>
        <v>958499.3</v>
      </c>
      <c r="O547" s="498">
        <f t="shared" ca="1" si="237"/>
        <v>122.77984795014507</v>
      </c>
      <c r="P547" s="498">
        <f t="shared" ca="1" si="238"/>
        <v>81.203980141651698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IFERROR(__xludf.DUMMYFUNCTION("IMPORTRANGE(""https://docs.google.com/spreadsheets/d/1QqKyyYR6Q21VydFLVH3TRQUabQu_ym0Zz7PgGX0-kHA/edit?usp=sharing"",""แผน!HB88"")"),780665)</f>
        <v>780665</v>
      </c>
      <c r="M549" s="93">
        <f ca="1">L549+399695</f>
        <v>1180360</v>
      </c>
      <c r="N549" s="93">
        <f>N550+N551+N552+N553+N554</f>
        <v>958499.3</v>
      </c>
      <c r="O549" s="93">
        <f t="shared" ca="1" si="237"/>
        <v>122.77984795014507</v>
      </c>
      <c r="P549" s="93">
        <f t="shared" ca="1" si="238"/>
        <v>81.203980141651698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f>24266.68+13000+13000+13000+13000+13000+13000</f>
        <v>102266.68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32853.25+65260+2498.45+7850+86672+7970+316+1365+14430+240+15375+3950+1780+26020+53390+14635+35360+29476.67+21627+3076.25+6150+2660+2660+360+1200+10310+6398+2655</f>
        <v>456537.62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f>220000+178195+2000+1500-2000</f>
        <v>399695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89214</v>
      </c>
      <c r="J559" s="707">
        <f t="shared" si="245"/>
        <v>89216</v>
      </c>
      <c r="K559" s="676">
        <f t="shared" ref="K559:K561" ca="1" si="246">IF(I559&gt;0,J559*100/I559,0)</f>
        <v>100.00224180061426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IFERROR(__xludf.DUMMYFUNCTION("IMPORTRANGE(""https://docs.google.com/spreadsheets/d/1QqKyyYR6Q21VydFLVH3TRQUabQu_ym0Zz7PgGX0-kHA/edit?usp=sharing"",""แผน!HH88"")"),89214)</f>
        <v>89214</v>
      </c>
      <c r="J560" s="193">
        <f t="shared" ref="J560:J561" si="247">J562+J564+J566</f>
        <v>89216</v>
      </c>
      <c r="K560" s="412">
        <f t="shared" ca="1" si="246"/>
        <v>100.00224180061426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IFERROR(__xludf.DUMMYFUNCTION("IMPORTRANGE(""https://docs.google.com/spreadsheets/d/1QqKyyYR6Q21VydFLVH3TRQUabQu_ym0Zz7PgGX0-kHA/edit?usp=sharing"",""แผน!HG88"")"),7593)</f>
        <v>7593</v>
      </c>
      <c r="J561" s="193">
        <f t="shared" si="247"/>
        <v>7593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79903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6728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8439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781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874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84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IFERROR(__xludf.DUMMYFUNCTION("IMPORTRANGE(""https://docs.google.com/spreadsheets/d/1QqKyyYR6Q21VydFLVH3TRQUabQu_ym0Zz7PgGX0-kHA/edit?usp=sharing"",""แผน!HH88"")"),89214)</f>
        <v>89214</v>
      </c>
      <c r="J568" s="680">
        <f t="shared" ref="J568:J569" si="248">J570+J572+J574</f>
        <v>89214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IFERROR(__xludf.DUMMYFUNCTION("IMPORTRANGE(""https://docs.google.com/spreadsheets/d/1QqKyyYR6Q21VydFLVH3TRQUabQu_ym0Zz7PgGX0-kHA/edit?usp=sharing"",""แผน!HG88"")"),7593)</f>
        <v>7593</v>
      </c>
      <c r="J569" s="680">
        <f t="shared" si="248"/>
        <v>7593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87382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7379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838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116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994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98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IFERROR(__xludf.DUMMYFUNCTION("IMPORTRANGE(""https://docs.google.com/spreadsheets/d/1QqKyyYR6Q21VydFLVH3TRQUabQu_ym0Zz7PgGX0-kHA/edit?usp=sharing"",""แผน!HH88"")"),89214)</f>
        <v>89214</v>
      </c>
      <c r="J576" s="680">
        <f t="shared" ref="J576:J577" si="250">J578+J580+J582+J588+J590</f>
        <v>89216</v>
      </c>
      <c r="K576" s="412">
        <f t="shared" ref="K576:K577" ca="1" si="251">IF(I576&gt;0,J576*100/I576,0)</f>
        <v>100.00224180061426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IFERROR(__xludf.DUMMYFUNCTION("IMPORTRANGE(""https://docs.google.com/spreadsheets/d/1QqKyyYR6Q21VydFLVH3TRQUabQu_ym0Zz7PgGX0-kHA/edit?usp=sharing"",""แผน!HG88"")"),7593)</f>
        <v>7593</v>
      </c>
      <c r="J577" s="680">
        <f t="shared" si="250"/>
        <v>7593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80108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6750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8114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745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994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98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994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98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15712.62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IFERROR(__xludf.DUMMYFUNCTION("IMPORTRANGE(""https://docs.google.com/spreadsheets/d/1QqKyyYR6Q21VydFLVH3TRQUabQu_ym0Zz7PgGX0-kHA/edit?usp=sharing"",""แผน!HJ88"")"),15712.62)</f>
        <v>15712.62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IFERROR(__xludf.DUMMYFUNCTION("IMPORTRANGE(""https://docs.google.com/spreadsheets/d/1QqKyyYR6Q21VydFLVH3TRQUabQu_ym0Zz7PgGX0-kHA/edit?usp=sharing"",""แผน!HI88"")"),1172)</f>
        <v>1172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IFERROR(__xludf.DUMMYFUNCTION("IMPORTRANGE(""https://docs.google.com/spreadsheets/d/1QqKyyYR6Q21VydFLVH3TRQUabQu_ym0Zz7PgGX0-kHA/edit?usp=sharing"",""แผน!HL88"")"),0)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IFERROR(__xludf.DUMMYFUNCTION("IMPORTRANGE(""https://docs.google.com/spreadsheets/d/1QqKyyYR6Q21VydFLVH3TRQUabQu_ym0Zz7PgGX0-kHA/edit?usp=sharing"",""แผน!HK88"")"),0)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IFERROR(__xludf.DUMMYFUNCTION("IMPORTRANGE(""https://docs.google.com/spreadsheets/d/1QqKyyYR6Q21VydFLVH3TRQUabQu_ym0Zz7PgGX0-kHA/edit?usp=sharing"",""แผน!HN88"")"),0)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IFERROR(__xludf.DUMMYFUNCTION("IMPORTRANGE(""https://docs.google.com/spreadsheets/d/1QqKyyYR6Q21VydFLVH3TRQUabQu_ym0Zz7PgGX0-kHA/edit?usp=sharing"",""แผน!HR88"")"),0)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IFERROR(__xludf.DUMMYFUNCTION("IMPORTRANGE(""https://docs.google.com/spreadsheets/d/1XWAQStnk-4SwqDmLtmXYiTMKHgktTP8We1SCoS47DrQ/edit?usp=sharing"",""จัดที่ดิน!AS88"")"),0)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IFERROR(__xludf.DUMMYFUNCTION("IMPORTRANGE(""https://docs.google.com/spreadsheets/d/1XWAQStnk-4SwqDmLtmXYiTMKHgktTP8We1SCoS47DrQ/edit?usp=sharing"",""จัดที่ดิน!AT88"")"),0)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IFERROR(__xludf.DUMMYFUNCTION("IMPORTRANGE(""https://docs.google.com/spreadsheets/d/1QqKyyYR6Q21VydFLVH3TRQUabQu_ym0Zz7PgGX0-kHA/edit?usp=sharing"",""แผน!HS88"")"),0)</f>
        <v>0</v>
      </c>
      <c r="J647" s="270">
        <f ca="1">IFERROR(__xludf.DUMMYFUNCTION("IMPORTRANGE(""https://docs.google.com/spreadsheets/d/1XWAQStnk-4SwqDmLtmXYiTMKHgktTP8We1SCoS47DrQ/edit?usp=sharing"",""จัดที่ดิน!AU88"")"),0)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IFERROR(__xludf.DUMMYFUNCTION("IMPORTRANGE(""https://docs.google.com/spreadsheets/d/1XWAQStnk-4SwqDmLtmXYiTMKHgktTP8We1SCoS47DrQ/edit?usp=sharing"",""จัดที่ดิน!AV88"")"),0)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IFERROR(__xludf.DUMMYFUNCTION("IMPORTRANGE(""https://docs.google.com/spreadsheets/d/1QqKyyYR6Q21VydFLVH3TRQUabQu_ym0Zz7PgGX0-kHA/edit?usp=sharing"",""แผน!HS88"")"),0)</f>
        <v>0</v>
      </c>
      <c r="J649" s="270">
        <f ca="1">IFERROR(__xludf.DUMMYFUNCTION("IMPORTRANGE(""https://docs.google.com/spreadsheets/d/1XWAQStnk-4SwqDmLtmXYiTMKHgktTP8We1SCoS47DrQ/edit?usp=sharing"",""จัดที่ดิน!AW88"")"),0)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IFERROR(__xludf.DUMMYFUNCTION("IMPORTRANGE(""https://docs.google.com/spreadsheets/d/1XWAQStnk-4SwqDmLtmXYiTMKHgktTP8We1SCoS47DrQ/edit?usp=sharing"",""จัดที่ดิน!AX88"")"),0)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IFERROR(__xludf.DUMMYFUNCTION("IMPORTRANGE(""https://docs.google.com/spreadsheets/d/1QqKyyYR6Q21VydFLVH3TRQUabQu_ym0Zz7PgGX0-kHA/edit?usp=sharing"",""แผน!HS88"")"),0)</f>
        <v>0</v>
      </c>
      <c r="J651" s="270">
        <f ca="1">IFERROR(__xludf.DUMMYFUNCTION("IMPORTRANGE(""https://docs.google.com/spreadsheets/d/1XWAQStnk-4SwqDmLtmXYiTMKHgktTP8We1SCoS47DrQ/edit?usp=sharing"",""จัดที่ดิน!AY88"")"),0)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IFERROR(__xludf.DUMMYFUNCTION("IMPORTRANGE(""https://docs.google.com/spreadsheets/d/1XWAQStnk-4SwqDmLtmXYiTMKHgktTP8We1SCoS47DrQ/edit?usp=sharing"",""จัดที่ดิน!AZ88"")"),0)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IFERROR(__xludf.DUMMYFUNCTION("IMPORTRANGE(""https://docs.google.com/spreadsheets/d/1QqKyyYR6Q21VydFLVH3TRQUabQu_ym0Zz7PgGX0-kHA/edit?usp=sharing"",""แผน!IA88"")"),0)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IFERROR(__xludf.DUMMYFUNCTION("IMPORTRANGE(""https://docs.google.com/spreadsheets/d/1QqKyyYR6Q21VydFLVH3TRQUabQu_ym0Zz7PgGX0-kHA/edit?usp=sharing"",""แผน!HZ88"")"),0)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IFERROR(__xludf.DUMMYFUNCTION("IMPORTRANGE(""https://docs.google.com/spreadsheets/d/1QqKyyYR6Q21VydFLVH3TRQUabQu_ym0Zz7PgGX0-kHA/edit?usp=sharing"",""แผน!HZ88"")"),0)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IFERROR(__xludf.DUMMYFUNCTION("IMPORTRANGE(""https://docs.google.com/spreadsheets/d/1QqKyyYR6Q21VydFLVH3TRQUabQu_ym0Zz7PgGX0-kHA/edit?usp=sharing"",""แผน!IB88"")"),0)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IFERROR(__xludf.DUMMYFUNCTION("IMPORTRANGE(""https://docs.google.com/spreadsheets/d/1QqKyyYR6Q21VydFLVH3TRQUabQu_ym0Zz7PgGX0-kHA/edit?usp=sharing"",""แผน!IC88"")"),0)</f>
        <v>0</v>
      </c>
      <c r="J699" s="270">
        <f ca="1">IFERROR(__xludf.DUMMYFUNCTION("IMPORTRANGE(""https://docs.google.com/spreadsheets/d/1XWAQStnk-4SwqDmLtmXYiTMKHgktTP8We1SCoS47DrQ/edit?usp=sharing"",""จัดที่ดิน!BB88"")"),0)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IFERROR(__xludf.DUMMYFUNCTION("IMPORTRANGE(""https://docs.google.com/spreadsheets/d/1QqKyyYR6Q21VydFLVH3TRQUabQu_ym0Zz7PgGX0-kHA/edit?usp=sharing"",""แผน!ID88"")"),0)</f>
        <v>0</v>
      </c>
      <c r="J700" s="270">
        <f ca="1">IFERROR(__xludf.DUMMYFUNCTION("IMPORTRANGE(""https://docs.google.com/spreadsheets/d/1XWAQStnk-4SwqDmLtmXYiTMKHgktTP8We1SCoS47DrQ/edit?usp=sharing"",""จัดที่ดิน!BD88"")"),0)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IFERROR(__xludf.DUMMYFUNCTION("IMPORTRANGE(""https://docs.google.com/spreadsheets/d/1QqKyyYR6Q21VydFLVH3TRQUabQu_ym0Zz7PgGX0-kHA/edit?usp=sharing"",""แผน!IE88"")"),0)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IFERROR(__xludf.DUMMYFUNCTION("IMPORTRANGE(""https://docs.google.com/spreadsheets/d/1QqKyyYR6Q21VydFLVH3TRQUabQu_ym0Zz7PgGX0-kHA/edit?usp=sharing"",""แผน!IF88"")"),0)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IFERROR(__xludf.DUMMYFUNCTION("IMPORTRANGE(""https://docs.google.com/spreadsheets/d/1QqKyyYR6Q21VydFLVH3TRQUabQu_ym0Zz7PgGX0-kHA/edit?usp=sharing"",""แผน!IG88"")"),0)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IFERROR(__xludf.DUMMYFUNCTION("IMPORTRANGE(""https://docs.google.com/spreadsheets/d/1QqKyyYR6Q21VydFLVH3TRQUabQu_ym0Zz7PgGX0-kHA/edit?usp=sharing"",""แผน!IH88"")"),0)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IFERROR(__xludf.DUMMYFUNCTION("IMPORTRANGE(""https://docs.google.com/spreadsheets/d/1XWAQStnk-4SwqDmLtmXYiTMKHgktTP8We1SCoS47DrQ/edit?usp=sharing"",""จัดที่ดิน!BF88"")"),0)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IFERROR(__xludf.DUMMYFUNCTION("IMPORTRANGE(""https://docs.google.com/spreadsheets/d/1XWAQStnk-4SwqDmLtmXYiTMKHgktTP8We1SCoS47DrQ/edit?usp=sharing"",""จัดที่ดิน!BG88"")"),0)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IFERROR(__xludf.DUMMYFUNCTION("IMPORTRANGE(""https://docs.google.com/spreadsheets/d/1QqKyyYR6Q21VydFLVH3TRQUabQu_ym0Zz7PgGX0-kHA/edit?usp=sharing"",""แผน!II88"")"),0)</f>
        <v>0</v>
      </c>
      <c r="J720" s="270">
        <f ca="1">IFERROR(__xludf.DUMMYFUNCTION("IMPORTRANGE(""https://docs.google.com/spreadsheets/d/1XWAQStnk-4SwqDmLtmXYiTMKHgktTP8We1SCoS47DrQ/edit?usp=sharing"",""จัดที่ดิน!BH88"")"),0)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IFERROR(__xludf.DUMMYFUNCTION("IMPORTRANGE(""https://docs.google.com/spreadsheets/d/1QqKyyYR6Q21VydFLVH3TRQUabQu_ym0Zz7PgGX0-kHA/edit?usp=sharing"",""แผน!IJ88"")"),0)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IFERROR(__xludf.DUMMYFUNCTION("IMPORTRANGE(""https://docs.google.com/spreadsheets/d/1QqKyyYR6Q21VydFLVH3TRQUabQu_ym0Zz7PgGX0-kHA/edit?usp=sharing"",""แผน!IK88"")"),0)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IFERROR(__xludf.DUMMYFUNCTION("IMPORTRANGE(""https://docs.google.com/spreadsheets/d/1QqKyyYR6Q21VydFLVH3TRQUabQu_ym0Zz7PgGX0-kHA/edit?usp=sharing"",""แผน!IL88"")"),0)</f>
        <v>0</v>
      </c>
      <c r="J723" s="270">
        <f ca="1">IFERROR(__xludf.DUMMYFUNCTION("IMPORTRANGE(""https://docs.google.com/spreadsheets/d/1XWAQStnk-4SwqDmLtmXYiTMKHgktTP8We1SCoS47DrQ/edit?usp=sharing"",""จัดที่ดิน!BM88"")"),0)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IFERROR(__xludf.DUMMYFUNCTION("IMPORTRANGE(""https://docs.google.com/spreadsheets/d/1XWAQStnk-4SwqDmLtmXYiTMKHgktTP8We1SCoS47DrQ/edit?usp=sharing"",""จัดที่ดิน!BN88"")"),0)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IFERROR(__xludf.DUMMYFUNCTION("IMPORTRANGE(""https://docs.google.com/spreadsheets/d/1QqKyyYR6Q21VydFLVH3TRQUabQu_ym0Zz7PgGX0-kHA/edit?usp=sharing"",""แผน!IM88"")"),0)</f>
        <v>0</v>
      </c>
      <c r="J725" s="270">
        <f ca="1">IFERROR(__xludf.DUMMYFUNCTION("IMPORTRANGE(""https://docs.google.com/spreadsheets/d/1XWAQStnk-4SwqDmLtmXYiTMKHgktTP8We1SCoS47DrQ/edit?usp=sharing"",""จัดที่ดิน!BO88"")"),0)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IFERROR(__xludf.DUMMYFUNCTION("IMPORTRANGE(""https://docs.google.com/spreadsheets/d/1QqKyyYR6Q21VydFLVH3TRQUabQu_ym0Zz7PgGX0-kHA/edit?usp=sharing"",""แผน!IN88"")"),0)</f>
        <v>0</v>
      </c>
      <c r="J726" s="270">
        <f ca="1">IFERROR(__xludf.DUMMYFUNCTION("IMPORTRANGE(""https://docs.google.com/spreadsheets/d/1XWAQStnk-4SwqDmLtmXYiTMKHgktTP8We1SCoS47DrQ/edit?usp=sharing"",""จัดที่ดิน!BR88"")"),0)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IFERROR(__xludf.DUMMYFUNCTION("IMPORTRANGE(""https://docs.google.com/spreadsheets/d/1XWAQStnk-4SwqDmLtmXYiTMKHgktTP8We1SCoS47DrQ/edit?usp=sharing"",""จัดที่ดิน!BS88"")"),0)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IFERROR(__xludf.DUMMYFUNCTION("IMPORTRANGE(""https://docs.google.com/spreadsheets/d/1QqKyyYR6Q21VydFLVH3TRQUabQu_ym0Zz7PgGX0-kHA/edit?usp=sharing"",""แผน!IO88"")"),0)</f>
        <v>0</v>
      </c>
      <c r="J728" s="270">
        <f ca="1">IFERROR(__xludf.DUMMYFUNCTION("IMPORTRANGE(""https://docs.google.com/spreadsheets/d/1XWAQStnk-4SwqDmLtmXYiTMKHgktTP8We1SCoS47DrQ/edit?usp=sharing"",""จัดที่ดิน!BT88"")"),0)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IFERROR(__xludf.DUMMYFUNCTION("IMPORTRANGE(""https://docs.google.com/spreadsheets/d/1QqKyyYR6Q21VydFLVH3TRQUabQu_ym0Zz7PgGX0-kHA/edit?usp=sharing"",""แผน!IP88"")"),0)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IFERROR(__xludf.DUMMYFUNCTION("IMPORTRANGE(""https://docs.google.com/spreadsheets/d/1QqKyyYR6Q21VydFLVH3TRQUabQu_ym0Zz7PgGX0-kHA/edit?usp=sharing"",""แผน!JN88"")"),0)</f>
        <v>0</v>
      </c>
      <c r="J800" s="184">
        <f ca="1">IFERROR(__xludf.DUMMYFUNCTION("IMPORTRANGE(""https://docs.google.com/spreadsheets/d/1MaWodYyGHDf7siQLGxnXhG4mBNTNIuy296niS2xXulU/edit?usp=sharing"",""RTK!H88"")"),0)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IFERROR(__xludf.DUMMYFUNCTION("IMPORTRANGE(""https://docs.google.com/spreadsheets/d/1MaWodYyGHDf7siQLGxnXhG4mBNTNIuy296niS2xXulU/edit?usp=sharing"",""RTK!I88"")"),0)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341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IFERROR(__xludf.DUMMYFUNCTION("IMPORTRANGE(""https://docs.google.com/spreadsheets/d/19vJNZY_5yjcGF2XGBMNZRCAIB0Kwfpjp8YEOfu-bneM/edit?usp=sharing"",""งานกองทุน!D88"")"),4380983.93)</f>
        <v>4380983.93</v>
      </c>
      <c r="J821" s="270">
        <f ca="1">IFERROR(__xludf.DUMMYFUNCTION("IMPORTRANGE(""https://docs.google.com/spreadsheets/d/19vJNZY_5yjcGF2XGBMNZRCAIB0Kwfpjp8YEOfu-bneM/edit?usp=sharing"",""งานกองทุน!F88"")"),3153606.54)</f>
        <v>3153606.54</v>
      </c>
      <c r="K821" s="498">
        <f t="shared" ref="K821:K828" ca="1" si="335">IF(I821&gt;0,J821*100/I821,0)</f>
        <v>71.983978722332367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IFERROR(__xludf.DUMMYFUNCTION("IMPORTRANGE(""https://docs.google.com/spreadsheets/d/19vJNZY_5yjcGF2XGBMNZRCAIB0Kwfpjp8YEOfu-bneM/edit?usp=sharing"",""งานกองทุน!C88"")"),276)</f>
        <v>276</v>
      </c>
      <c r="J822" s="270">
        <f ca="1">IFERROR(__xludf.DUMMYFUNCTION("IMPORTRANGE(""https://docs.google.com/spreadsheets/d/19vJNZY_5yjcGF2XGBMNZRCAIB0Kwfpjp8YEOfu-bneM/edit?usp=sharing"",""งานกองทุน!E88"")"),211)</f>
        <v>211</v>
      </c>
      <c r="K822" s="498">
        <f t="shared" ca="1" si="335"/>
        <v>76.449275362318843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IFERROR(__xludf.DUMMYFUNCTION("IMPORTRANGE(""https://docs.google.com/spreadsheets/d/19vJNZY_5yjcGF2XGBMNZRCAIB0Kwfpjp8YEOfu-bneM/edit?usp=sharing"",""งานกองทุน!I88"")"),1786752.43)</f>
        <v>1786752.43</v>
      </c>
      <c r="J823" s="270">
        <f ca="1">IFERROR(__xludf.DUMMYFUNCTION("IMPORTRANGE(""https://docs.google.com/spreadsheets/d/19vJNZY_5yjcGF2XGBMNZRCAIB0Kwfpjp8YEOfu-bneM/edit?usp=sharing"",""งานกองทุน!K88"")"),553646.48)</f>
        <v>553646.48</v>
      </c>
      <c r="K823" s="498">
        <f t="shared" ca="1" si="335"/>
        <v>30.986188724534156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IFERROR(__xludf.DUMMYFUNCTION("IMPORTRANGE(""https://docs.google.com/spreadsheets/d/19vJNZY_5yjcGF2XGBMNZRCAIB0Kwfpjp8YEOfu-bneM/edit?usp=sharing"",""งานกองทุน!H88"")"),60)</f>
        <v>60</v>
      </c>
      <c r="J824" s="270">
        <f ca="1">IFERROR(__xludf.DUMMYFUNCTION("IMPORTRANGE(""https://docs.google.com/spreadsheets/d/19vJNZY_5yjcGF2XGBMNZRCAIB0Kwfpjp8YEOfu-bneM/edit?usp=sharing"",""งานกองทุน!J88"")"),50)</f>
        <v>50</v>
      </c>
      <c r="K824" s="498">
        <f t="shared" ca="1" si="335"/>
        <v>83.333333333333329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IFERROR(__xludf.DUMMYFUNCTION("IMPORTRANGE(""https://docs.google.com/spreadsheets/d/19vJNZY_5yjcGF2XGBMNZRCAIB0Kwfpjp8YEOfu-bneM/edit?usp=sharing"",""งานกองทุน!N88"")"),6822)</f>
        <v>6822</v>
      </c>
      <c r="J825" s="270">
        <f ca="1">IFERROR(__xludf.DUMMYFUNCTION("IMPORTRANGE(""https://docs.google.com/spreadsheets/d/19vJNZY_5yjcGF2XGBMNZRCAIB0Kwfpjp8YEOfu-bneM/edit?usp=sharing"",""งานกองทุน!P88"")"),266962)</f>
        <v>266962</v>
      </c>
      <c r="K825" s="498">
        <f t="shared" ca="1" si="335"/>
        <v>3913.2512459689242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IFERROR(__xludf.DUMMYFUNCTION("IMPORTRANGE(""https://docs.google.com/spreadsheets/d/19vJNZY_5yjcGF2XGBMNZRCAIB0Kwfpjp8YEOfu-bneM/edit?usp=sharing"",""งานกองทุน!M88"")"),10)</f>
        <v>10</v>
      </c>
      <c r="J826" s="270">
        <f ca="1">IFERROR(__xludf.DUMMYFUNCTION("IMPORTRANGE(""https://docs.google.com/spreadsheets/d/19vJNZY_5yjcGF2XGBMNZRCAIB0Kwfpjp8YEOfu-bneM/edit?usp=sharing"",""งานกองทุน!O88"")"),81)</f>
        <v>81</v>
      </c>
      <c r="K826" s="498">
        <f t="shared" ca="1" si="335"/>
        <v>810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IFERROR(__xludf.DUMMYFUNCTION("IMPORTRANGE(""https://docs.google.com/spreadsheets/d/19vJNZY_5yjcGF2XGBMNZRCAIB0Kwfpjp8YEOfu-bneM/edit?usp=sharing"",""งานกองทุน!S88"")"),2150000)</f>
        <v>2150000</v>
      </c>
      <c r="J827" s="270">
        <f ca="1">IFERROR(__xludf.DUMMYFUNCTION("IMPORTRANGE(""https://docs.google.com/spreadsheets/d/19vJNZY_5yjcGF2XGBMNZRCAIB0Kwfpjp8YEOfu-bneM/edit?usp=sharing"",""งานกองทุน!U88"")"),950000)</f>
        <v>950000</v>
      </c>
      <c r="K827" s="498">
        <f t="shared" ca="1" si="335"/>
        <v>44.186046511627907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IFERROR(__xludf.DUMMYFUNCTION("IMPORTRANGE(""https://docs.google.com/spreadsheets/d/19vJNZY_5yjcGF2XGBMNZRCAIB0Kwfpjp8YEOfu-bneM/edit?usp=sharing"",""งานกองทุน!R88"")"),86)</f>
        <v>86</v>
      </c>
      <c r="J828" s="505">
        <f ca="1">IFERROR(__xludf.DUMMYFUNCTION("IMPORTRANGE(""https://docs.google.com/spreadsheets/d/19vJNZY_5yjcGF2XGBMNZRCAIB0Kwfpjp8YEOfu-bneM/edit?usp=sharing"",""งานกองทุน!T88"")"),19)</f>
        <v>19</v>
      </c>
      <c r="K828" s="506">
        <f t="shared" ca="1" si="335"/>
        <v>22.093023255813954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91B47-ECCE-49F9-B3EB-358857F09CD0}">
  <sheetPr>
    <outlinePr summaryBelow="0" summaryRight="0"/>
    <pageSetUpPr fitToPage="1"/>
  </sheetPr>
  <dimension ref="A1:Z828"/>
  <sheetViews>
    <sheetView view="pageBreakPreview" zoomScale="60" zoomScaleNormal="100" workbookViewId="0">
      <pane ySplit="2" topLeftCell="A3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5.140625" customWidth="1"/>
    <col min="10" max="10" width="16.85546875" bestFit="1" customWidth="1"/>
    <col min="11" max="11" width="12.5703125" customWidth="1"/>
    <col min="12" max="14" width="23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330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68558997</v>
      </c>
      <c r="M8" s="22">
        <f t="shared" ca="1" si="0"/>
        <v>68686388.189999998</v>
      </c>
      <c r="N8" s="22">
        <f t="shared" ca="1" si="0"/>
        <v>33247984.16</v>
      </c>
      <c r="O8" s="22">
        <f t="shared" ref="O8:O16" ca="1" si="1">IF(L8&gt;0,N8*100/L8,0)</f>
        <v>48.495435486023808</v>
      </c>
      <c r="P8" s="22">
        <f t="shared" ref="P8:P16" ca="1" si="2">IF(M8&gt;0,N8*100/M8,0)</f>
        <v>48.405492028536379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68558997</v>
      </c>
      <c r="M10" s="30">
        <f t="shared" ca="1" si="3"/>
        <v>68686388.189999998</v>
      </c>
      <c r="N10" s="30">
        <f t="shared" ca="1" si="3"/>
        <v>33247984.16</v>
      </c>
      <c r="O10" s="30">
        <f t="shared" ca="1" si="1"/>
        <v>48.495435486023808</v>
      </c>
      <c r="P10" s="30">
        <f t="shared" ca="1" si="2"/>
        <v>48.405492028536379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4861197</v>
      </c>
      <c r="M11" s="498">
        <f t="shared" ca="1" si="4"/>
        <v>5059557</v>
      </c>
      <c r="N11" s="498">
        <f t="shared" ca="1" si="4"/>
        <v>3142408.9699999997</v>
      </c>
      <c r="O11" s="498">
        <f t="shared" ca="1" si="1"/>
        <v>64.642699524417552</v>
      </c>
      <c r="P11" s="498">
        <f t="shared" ca="1" si="2"/>
        <v>62.1083816231342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4861197</v>
      </c>
      <c r="M13" s="93">
        <f t="shared" ca="1" si="5"/>
        <v>5059557</v>
      </c>
      <c r="N13" s="93">
        <f t="shared" ca="1" si="5"/>
        <v>3142408.9699999997</v>
      </c>
      <c r="O13" s="93">
        <f t="shared" ca="1" si="1"/>
        <v>64.642699524417552</v>
      </c>
      <c r="P13" s="93">
        <f t="shared" ca="1" si="2"/>
        <v>62.1083816231342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63697800</v>
      </c>
      <c r="M14" s="498">
        <f t="shared" ca="1" si="6"/>
        <v>63626831.189999998</v>
      </c>
      <c r="N14" s="498">
        <f t="shared" ca="1" si="6"/>
        <v>30105575.190000001</v>
      </c>
      <c r="O14" s="498">
        <f t="shared" ca="1" si="1"/>
        <v>47.26313183500843</v>
      </c>
      <c r="P14" s="498">
        <f t="shared" ca="1" si="2"/>
        <v>47.315848718129445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63697800</v>
      </c>
      <c r="M16" s="52">
        <f t="shared" ca="1" si="7"/>
        <v>63626831.189999998</v>
      </c>
      <c r="N16" s="52">
        <f t="shared" ca="1" si="7"/>
        <v>30105575.190000001</v>
      </c>
      <c r="O16" s="52">
        <f t="shared" ca="1" si="1"/>
        <v>47.26313183500843</v>
      </c>
      <c r="P16" s="52">
        <f t="shared" ca="1" si="2"/>
        <v>47.315848718129445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66825420</v>
      </c>
      <c r="M18" s="22">
        <f t="shared" ca="1" si="8"/>
        <v>66952811.189999998</v>
      </c>
      <c r="N18" s="22">
        <f t="shared" ca="1" si="8"/>
        <v>32735128.82</v>
      </c>
      <c r="O18" s="22">
        <f t="shared" ref="O18:O26" ca="1" si="9">IF(L18&gt;0,N18*100/L18,0)</f>
        <v>48.986042766360463</v>
      </c>
      <c r="P18" s="22">
        <f t="shared" ref="P18:P26" ca="1" si="10">IF(M18&gt;0,N18*100/M18,0)</f>
        <v>48.892836967074629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66825420</v>
      </c>
      <c r="M20" s="30">
        <f t="shared" ca="1" si="11"/>
        <v>66952811.189999998</v>
      </c>
      <c r="N20" s="30">
        <f t="shared" ca="1" si="11"/>
        <v>32735128.82</v>
      </c>
      <c r="O20" s="30">
        <f t="shared" ca="1" si="9"/>
        <v>48.986042766360463</v>
      </c>
      <c r="P20" s="30">
        <f t="shared" ca="1" si="10"/>
        <v>48.892836967074629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3127620</v>
      </c>
      <c r="M21" s="498">
        <f t="shared" ca="1" si="12"/>
        <v>3325980</v>
      </c>
      <c r="N21" s="498">
        <f t="shared" ca="1" si="12"/>
        <v>2629553.63</v>
      </c>
      <c r="O21" s="498">
        <f t="shared" ca="1" si="9"/>
        <v>84.07522748927299</v>
      </c>
      <c r="P21" s="498">
        <f t="shared" ca="1" si="10"/>
        <v>79.06101750461518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3127620</v>
      </c>
      <c r="M23" s="93">
        <f t="shared" ca="1" si="13"/>
        <v>3325980</v>
      </c>
      <c r="N23" s="93">
        <f t="shared" ca="1" si="13"/>
        <v>2629553.63</v>
      </c>
      <c r="O23" s="93">
        <f t="shared" ca="1" si="9"/>
        <v>84.07522748927299</v>
      </c>
      <c r="P23" s="93">
        <f t="shared" ca="1" si="10"/>
        <v>79.06101750461518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63697800</v>
      </c>
      <c r="M24" s="498">
        <f t="shared" ca="1" si="14"/>
        <v>63626831.189999998</v>
      </c>
      <c r="N24" s="498">
        <f t="shared" ca="1" si="14"/>
        <v>30105575.190000001</v>
      </c>
      <c r="O24" s="498">
        <f t="shared" ca="1" si="9"/>
        <v>47.26313183500843</v>
      </c>
      <c r="P24" s="498">
        <f t="shared" ca="1" si="10"/>
        <v>47.315848718129445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63697800</v>
      </c>
      <c r="M26" s="52">
        <f t="shared" ca="1" si="15"/>
        <v>63626831.189999998</v>
      </c>
      <c r="N26" s="52">
        <f t="shared" ca="1" si="15"/>
        <v>30105575.190000001</v>
      </c>
      <c r="O26" s="52">
        <f t="shared" ca="1" si="9"/>
        <v>47.26313183500843</v>
      </c>
      <c r="P26" s="52">
        <f t="shared" ca="1" si="10"/>
        <v>47.315848718129445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1733577</v>
      </c>
      <c r="M28" s="22">
        <f t="shared" ca="1" si="16"/>
        <v>1733577</v>
      </c>
      <c r="N28" s="22">
        <f t="shared" si="16"/>
        <v>512855.34</v>
      </c>
      <c r="O28" s="22">
        <f t="shared" ref="O28:O37" ca="1" si="17">IF(L28&gt;0,N28*100/L28,0)</f>
        <v>29.583649298531302</v>
      </c>
      <c r="P28" s="22">
        <f t="shared" ref="P28:P37" ca="1" si="18">IF(M28&gt;0,N28*100/M28,0)</f>
        <v>29.583649298531302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1733577</v>
      </c>
      <c r="M30" s="30">
        <f t="shared" ca="1" si="19"/>
        <v>1733577</v>
      </c>
      <c r="N30" s="30">
        <f t="shared" si="19"/>
        <v>512855.34</v>
      </c>
      <c r="O30" s="30">
        <f t="shared" ca="1" si="17"/>
        <v>29.583649298531302</v>
      </c>
      <c r="P30" s="30">
        <f t="shared" ca="1" si="18"/>
        <v>29.583649298531302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1733577</v>
      </c>
      <c r="M31" s="498">
        <f t="shared" ca="1" si="20"/>
        <v>1733577</v>
      </c>
      <c r="N31" s="498">
        <f t="shared" si="20"/>
        <v>512855.34</v>
      </c>
      <c r="O31" s="498">
        <f t="shared" ca="1" si="17"/>
        <v>29.583649298531302</v>
      </c>
      <c r="P31" s="498">
        <f t="shared" ca="1" si="18"/>
        <v>29.583649298531302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1733577</v>
      </c>
      <c r="M33" s="93">
        <f t="shared" ca="1" si="21"/>
        <v>1733577</v>
      </c>
      <c r="N33" s="93">
        <f t="shared" si="21"/>
        <v>512855.34</v>
      </c>
      <c r="O33" s="93">
        <f t="shared" ca="1" si="17"/>
        <v>29.583649298531302</v>
      </c>
      <c r="P33" s="93">
        <f t="shared" ca="1" si="18"/>
        <v>29.583649298531302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66825420</v>
      </c>
      <c r="M37" s="858">
        <f t="shared" ca="1" si="24"/>
        <v>66952811.189999998</v>
      </c>
      <c r="N37" s="858">
        <f t="shared" ca="1" si="24"/>
        <v>32735128.82</v>
      </c>
      <c r="O37" s="858">
        <f t="shared" ca="1" si="17"/>
        <v>48.986042766360463</v>
      </c>
      <c r="P37" s="858">
        <f t="shared" ca="1" si="18"/>
        <v>48.892836967074629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532050</v>
      </c>
      <c r="M41" s="85">
        <f t="shared" ca="1" si="25"/>
        <v>552970</v>
      </c>
      <c r="N41" s="85">
        <f t="shared" ca="1" si="25"/>
        <v>433392.61</v>
      </c>
      <c r="O41" s="85">
        <f t="shared" ref="O41:O49" ca="1" si="26">IF(L41&gt;0,N41*100/L41,0)</f>
        <v>81.457120571374872</v>
      </c>
      <c r="P41" s="85">
        <f t="shared" ref="P41:P49" ca="1" si="27">IF(M41&gt;0,N41*100/M41,0)</f>
        <v>78.375429046783736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532050</v>
      </c>
      <c r="M43" s="92">
        <f t="shared" ca="1" si="28"/>
        <v>552970</v>
      </c>
      <c r="N43" s="92">
        <f t="shared" ca="1" si="28"/>
        <v>433392.61</v>
      </c>
      <c r="O43" s="92">
        <f t="shared" ca="1" si="26"/>
        <v>81.457120571374872</v>
      </c>
      <c r="P43" s="92">
        <f t="shared" ca="1" si="27"/>
        <v>78.375429046783736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532050</v>
      </c>
      <c r="M44" s="498">
        <f t="shared" ca="1" si="29"/>
        <v>552970</v>
      </c>
      <c r="N44" s="498">
        <f t="shared" ca="1" si="29"/>
        <v>433392.61</v>
      </c>
      <c r="O44" s="498">
        <f t="shared" ca="1" si="26"/>
        <v>81.457120571374872</v>
      </c>
      <c r="P44" s="498">
        <f t="shared" ca="1" si="27"/>
        <v>78.375429046783736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IFERROR(__xludf.DUMMYFUNCTION("IMPORTRANGE(""https://docs.google.com/spreadsheets/d/1MeEWN-I1oV_STSDYn1IFDPWt_1FKiwhDph83XaGc0o0/edit?usp=sharing"",""งบพรบ!M75"")"),532050)</f>
        <v>532050</v>
      </c>
      <c r="M46" s="93">
        <f ca="1">IFERROR(__xludf.DUMMYFUNCTION("IMPORTRANGE(""https://docs.google.com/spreadsheets/d/1MeEWN-I1oV_STSDYn1IFDPWt_1FKiwhDph83XaGc0o0/edit?usp=sharing"",""งบพรบ!R75"")"),552970)</f>
        <v>552970</v>
      </c>
      <c r="N46" s="93">
        <f ca="1">IFERROR(__xludf.DUMMYFUNCTION("IMPORTRANGE(""https://docs.google.com/spreadsheets/d/1MeEWN-I1oV_STSDYn1IFDPWt_1FKiwhDph83XaGc0o0/edit?usp=sharing"",""งบพรบ!T75"")"),433392.61)</f>
        <v>433392.61</v>
      </c>
      <c r="O46" s="93">
        <f t="shared" ca="1" si="26"/>
        <v>81.457120571374872</v>
      </c>
      <c r="P46" s="93">
        <f t="shared" ca="1" si="27"/>
        <v>78.375429046783736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IFERROR(__xludf.DUMMYFUNCTION("IMPORTRANGE(""https://docs.google.com/spreadsheets/d/1MeEWN-I1oV_STSDYn1IFDPWt_1FKiwhDph83XaGc0o0/edit?usp=sharing"",""งบพรบ!P75"")"),0)</f>
        <v>0</v>
      </c>
      <c r="M49" s="52">
        <f ca="1">IFERROR(__xludf.DUMMYFUNCTION("IMPORTRANGE(""https://docs.google.com/spreadsheets/d/1MeEWN-I1oV_STSDYn1IFDPWt_1FKiwhDph83XaGc0o0/edit?usp=sharing"",""งบพรบ!S75"")"),0)</f>
        <v>0</v>
      </c>
      <c r="N49" s="52">
        <f ca="1">IFERROR(__xludf.DUMMYFUNCTION("IMPORTRANGE(""https://docs.google.com/spreadsheets/d/1MeEWN-I1oV_STSDYn1IFDPWt_1FKiwhDph83XaGc0o0/edit?usp=sharing"",""งบพรบ!U75"")"),0)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654600</v>
      </c>
      <c r="M53" s="116">
        <f t="shared" ca="1" si="31"/>
        <v>657500</v>
      </c>
      <c r="N53" s="116">
        <f t="shared" ca="1" si="31"/>
        <v>580155.68000000005</v>
      </c>
      <c r="O53" s="116">
        <f t="shared" ref="O53:O61" ca="1" si="32">IF(L53&gt;0,N53*100/L53,0)</f>
        <v>88.627509929728092</v>
      </c>
      <c r="P53" s="116">
        <f t="shared" ref="P53:P61" ca="1" si="33">IF(M53&gt;0,N53*100/M53,0)</f>
        <v>88.236605323193928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654600</v>
      </c>
      <c r="M55" s="123">
        <f t="shared" ca="1" si="34"/>
        <v>657500</v>
      </c>
      <c r="N55" s="123">
        <f t="shared" ca="1" si="34"/>
        <v>580155.68000000005</v>
      </c>
      <c r="O55" s="123">
        <f t="shared" ca="1" si="32"/>
        <v>88.627509929728092</v>
      </c>
      <c r="P55" s="123">
        <f t="shared" ca="1" si="33"/>
        <v>88.236605323193928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654600</v>
      </c>
      <c r="M56" s="498">
        <f t="shared" ca="1" si="35"/>
        <v>657500</v>
      </c>
      <c r="N56" s="498">
        <f t="shared" ca="1" si="35"/>
        <v>580155.68000000005</v>
      </c>
      <c r="O56" s="498">
        <f t="shared" ca="1" si="32"/>
        <v>88.627509929728092</v>
      </c>
      <c r="P56" s="498">
        <f t="shared" ca="1" si="33"/>
        <v>88.236605323193928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IFERROR(__xludf.DUMMYFUNCTION("IMPORTRANGE(""https://docs.google.com/spreadsheets/d/1MeEWN-I1oV_STSDYn1IFDPWt_1FKiwhDph83XaGc0o0/edit?usp=sharing"",""งบพรบ!W75"")"),654600)</f>
        <v>654600</v>
      </c>
      <c r="M58" s="93">
        <f ca="1">IFERROR(__xludf.DUMMYFUNCTION("IMPORTRANGE(""https://docs.google.com/spreadsheets/d/1MeEWN-I1oV_STSDYn1IFDPWt_1FKiwhDph83XaGc0o0/edit?usp=sharing"",""งบพรบ!AB75"")"),657500)</f>
        <v>657500</v>
      </c>
      <c r="N58" s="93">
        <f ca="1">IFERROR(__xludf.DUMMYFUNCTION("IMPORTRANGE(""https://docs.google.com/spreadsheets/d/1MeEWN-I1oV_STSDYn1IFDPWt_1FKiwhDph83XaGc0o0/edit?usp=sharing"",""งบพรบ!AD75"")"),580155.68)</f>
        <v>580155.68000000005</v>
      </c>
      <c r="O58" s="93">
        <f t="shared" ca="1" si="32"/>
        <v>88.627509929728092</v>
      </c>
      <c r="P58" s="93">
        <f t="shared" ca="1" si="33"/>
        <v>88.236605323193928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IFERROR(__xludf.DUMMYFUNCTION("IMPORTRANGE(""https://docs.google.com/spreadsheets/d/1MeEWN-I1oV_STSDYn1IFDPWt_1FKiwhDph83XaGc0o0/edit?usp=sharing"",""งบพรบ!Z75"")"),0)</f>
        <v>0</v>
      </c>
      <c r="M61" s="52">
        <f ca="1">IFERROR(__xludf.DUMMYFUNCTION("IMPORTRANGE(""https://docs.google.com/spreadsheets/d/1MeEWN-I1oV_STSDYn1IFDPWt_1FKiwhDph83XaGc0o0/edit?usp=sharing"",""งบพรบ!AC75"")"),0)</f>
        <v>0</v>
      </c>
      <c r="N61" s="52">
        <f ca="1">IFERROR(__xludf.DUMMYFUNCTION("IMPORTRANGE(""https://docs.google.com/spreadsheets/d/1MeEWN-I1oV_STSDYn1IFDPWt_1FKiwhDph83XaGc0o0/edit?usp=sharing"",""งบพรบ!AE75"")"),0)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688200</v>
      </c>
      <c r="M66" s="155">
        <f t="shared" ca="1" si="39"/>
        <v>688200</v>
      </c>
      <c r="N66" s="155">
        <f t="shared" ca="1" si="39"/>
        <v>541773.80000000005</v>
      </c>
      <c r="O66" s="155">
        <f t="shared" ref="O66:O74" ca="1" si="40">IF(L66&gt;0,N66*100/L66,0)</f>
        <v>78.723307178145902</v>
      </c>
      <c r="P66" s="155">
        <f t="shared" ref="P66:P74" ca="1" si="41">IF(M66&gt;0,N66*100/M66,0)</f>
        <v>78.723307178145902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688200</v>
      </c>
      <c r="M68" s="93">
        <f t="shared" ca="1" si="42"/>
        <v>688200</v>
      </c>
      <c r="N68" s="93">
        <f t="shared" ca="1" si="42"/>
        <v>541773.80000000005</v>
      </c>
      <c r="O68" s="93">
        <f t="shared" ca="1" si="40"/>
        <v>78.723307178145902</v>
      </c>
      <c r="P68" s="93">
        <f t="shared" ca="1" si="41"/>
        <v>78.723307178145902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688200</v>
      </c>
      <c r="M69" s="498">
        <f t="shared" ca="1" si="43"/>
        <v>688200</v>
      </c>
      <c r="N69" s="498">
        <f t="shared" ca="1" si="43"/>
        <v>541773.80000000005</v>
      </c>
      <c r="O69" s="498">
        <f t="shared" ca="1" si="40"/>
        <v>78.723307178145902</v>
      </c>
      <c r="P69" s="498">
        <f t="shared" ca="1" si="41"/>
        <v>78.723307178145902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IFERROR(__xludf.DUMMYFUNCTION("IMPORTRANGE(""https://docs.google.com/spreadsheets/d/1MeEWN-I1oV_STSDYn1IFDPWt_1FKiwhDph83XaGc0o0/edit?usp=sharing"",""งบพรบ!AG75"")"),688200)</f>
        <v>688200</v>
      </c>
      <c r="M71" s="93">
        <f ca="1">IFERROR(__xludf.DUMMYFUNCTION("IMPORTRANGE(""https://docs.google.com/spreadsheets/d/1MeEWN-I1oV_STSDYn1IFDPWt_1FKiwhDph83XaGc0o0/edit?usp=sharing"",""งบพรบ!AL75"")"),688200)</f>
        <v>688200</v>
      </c>
      <c r="N71" s="93">
        <f ca="1">IFERROR(__xludf.DUMMYFUNCTION("IMPORTRANGE(""https://docs.google.com/spreadsheets/d/1MeEWN-I1oV_STSDYn1IFDPWt_1FKiwhDph83XaGc0o0/edit?usp=sharing"",""งบพรบ!AN75"")"),541773.8)</f>
        <v>541773.80000000005</v>
      </c>
      <c r="O71" s="93">
        <f t="shared" ca="1" si="40"/>
        <v>78.723307178145902</v>
      </c>
      <c r="P71" s="93">
        <f t="shared" ca="1" si="41"/>
        <v>78.723307178145902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IFERROR(__xludf.DUMMYFUNCTION("IMPORTRANGE(""https://docs.google.com/spreadsheets/d/1MeEWN-I1oV_STSDYn1IFDPWt_1FKiwhDph83XaGc0o0/edit?usp=sharing"",""งบพรบ!AJ75"")"),0)</f>
        <v>0</v>
      </c>
      <c r="M74" s="93">
        <f ca="1">IFERROR(__xludf.DUMMYFUNCTION("IMPORTRANGE(""https://docs.google.com/spreadsheets/d/1MeEWN-I1oV_STSDYn1IFDPWt_1FKiwhDph83XaGc0o0/edit?usp=sharing"",""งบพรบ!AM75"")"),0)</f>
        <v>0</v>
      </c>
      <c r="N74" s="93">
        <f ca="1">IFERROR(__xludf.DUMMYFUNCTION("IMPORTRANGE(""https://docs.google.com/spreadsheets/d/1MeEWN-I1oV_STSDYn1IFDPWt_1FKiwhDph83XaGc0o0/edit?usp=sharing"",""งบพรบ!AO75"")"),0)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IFERROR(__xludf.DUMMYFUNCTION("IMPORTRANGE(""https://docs.google.com/spreadsheets/d/1QqKyyYR6Q21VydFLVH3TRQUabQu_ym0Zz7PgGX0-kHA/edit?usp=sharing"",""แผน!D75"")"),1)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IFERROR(__xludf.DUMMYFUNCTION("IMPORTRANGE(""https://docs.google.com/spreadsheets/d/1QqKyyYR6Q21VydFLVH3TRQUabQu_ym0Zz7PgGX0-kHA/edit?usp=sharing"",""แผน!E75"")"),30)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85840</v>
      </c>
      <c r="M88" s="155">
        <f t="shared" ca="1" si="49"/>
        <v>85840</v>
      </c>
      <c r="N88" s="155">
        <f t="shared" ca="1" si="49"/>
        <v>81563</v>
      </c>
      <c r="O88" s="155">
        <f t="shared" ref="O88:O96" ca="1" si="50">IF(L88&gt;0,N88*100/L88,0)</f>
        <v>95.017474370922642</v>
      </c>
      <c r="P88" s="155">
        <f t="shared" ref="P88:P96" ca="1" si="51">IF(M88&gt;0,N88*100/M88,0)</f>
        <v>95.017474370922642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85840</v>
      </c>
      <c r="M90" s="93">
        <f t="shared" ca="1" si="52"/>
        <v>85840</v>
      </c>
      <c r="N90" s="93">
        <f t="shared" ca="1" si="52"/>
        <v>81563</v>
      </c>
      <c r="O90" s="93">
        <f t="shared" ca="1" si="50"/>
        <v>95.017474370922642</v>
      </c>
      <c r="P90" s="93">
        <f t="shared" ca="1" si="51"/>
        <v>95.017474370922642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85840</v>
      </c>
      <c r="M91" s="498">
        <f t="shared" ca="1" si="53"/>
        <v>85840</v>
      </c>
      <c r="N91" s="498">
        <f t="shared" ca="1" si="53"/>
        <v>81563</v>
      </c>
      <c r="O91" s="498">
        <f t="shared" ca="1" si="50"/>
        <v>95.017474370922642</v>
      </c>
      <c r="P91" s="498">
        <f t="shared" ca="1" si="51"/>
        <v>95.017474370922642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IFERROR(__xludf.DUMMYFUNCTION("IMPORTRANGE(""https://docs.google.com/spreadsheets/d/1MeEWN-I1oV_STSDYn1IFDPWt_1FKiwhDph83XaGc0o0/edit?usp=sharing"",""งบพรบ!AQ75"")"),85840)</f>
        <v>85840</v>
      </c>
      <c r="M93" s="93">
        <f ca="1">IFERROR(__xludf.DUMMYFUNCTION("IMPORTRANGE(""https://docs.google.com/spreadsheets/d/1MeEWN-I1oV_STSDYn1IFDPWt_1FKiwhDph83XaGc0o0/edit?usp=sharing"",""งบพรบ!AV75"")"),85840)</f>
        <v>85840</v>
      </c>
      <c r="N93" s="93">
        <f ca="1">IFERROR(__xludf.DUMMYFUNCTION("IMPORTRANGE(""https://docs.google.com/spreadsheets/d/1MeEWN-I1oV_STSDYn1IFDPWt_1FKiwhDph83XaGc0o0/edit?usp=sharing"",""งบพรบ!AX75"")"),81563)</f>
        <v>81563</v>
      </c>
      <c r="O93" s="93">
        <f t="shared" ca="1" si="50"/>
        <v>95.017474370922642</v>
      </c>
      <c r="P93" s="93">
        <f t="shared" ca="1" si="51"/>
        <v>95.017474370922642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IFERROR(__xludf.DUMMYFUNCTION("IMPORTRANGE(""https://docs.google.com/spreadsheets/d/1MeEWN-I1oV_STSDYn1IFDPWt_1FKiwhDph83XaGc0o0/edit?usp=sharing"",""งบพรบ!AT75"")"),0)</f>
        <v>0</v>
      </c>
      <c r="M96" s="93">
        <f ca="1">IFERROR(__xludf.DUMMYFUNCTION("IMPORTRANGE(""https://docs.google.com/spreadsheets/d/1MeEWN-I1oV_STSDYn1IFDPWt_1FKiwhDph83XaGc0o0/edit?usp=sharing"",""งบพรบ!AW75"")"),0)</f>
        <v>0</v>
      </c>
      <c r="N96" s="93">
        <f ca="1">IFERROR(__xludf.DUMMYFUNCTION("IMPORTRANGE(""https://docs.google.com/spreadsheets/d/1MeEWN-I1oV_STSDYn1IFDPWt_1FKiwhDph83XaGc0o0/edit?usp=sharing"",""งบพรบ!AY75"")"),0)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IFERROR(__xludf.DUMMYFUNCTION("IMPORTRANGE(""https://docs.google.com/spreadsheets/d/1QqKyyYR6Q21VydFLVH3TRQUabQu_ym0Zz7PgGX0-kHA/edit?usp=sharing"",""แผน!K75"")"),30)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IFERROR(__xludf.DUMMYFUNCTION("IMPORTRANGE(""https://docs.google.com/spreadsheets/d/1QqKyyYR6Q21VydFLVH3TRQUabQu_ym0Zz7PgGX0-kHA/edit?usp=sharing"",""แผน!L75"")"),10)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IFERROR(__xludf.DUMMYFUNCTION("IMPORTRANGE(""https://docs.google.com/spreadsheets/d/1QqKyyYR6Q21VydFLVH3TRQUabQu_ym0Zz7PgGX0-kHA/edit?usp=sharing"",""แผน!M75"")"),2)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IFERROR(__xludf.DUMMYFUNCTION("IMPORTRANGE(""https://docs.google.com/spreadsheets/d/1QqKyyYR6Q21VydFLVH3TRQUabQu_ym0Zz7PgGX0-kHA/edit?usp=sharing"",""แผน!N75"")"),30)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IFERROR(__xludf.DUMMYFUNCTION("IMPORTRANGE(""https://docs.google.com/spreadsheets/d/1QqKyyYR6Q21VydFLVH3TRQUabQu_ym0Zz7PgGX0-kHA/edit?usp=sharing"",""แผน!O75"")"),10)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IFERROR(__xludf.DUMMYFUNCTION("IMPORTRANGE(""https://docs.google.com/spreadsheets/d/1QqKyyYR6Q21VydFLVH3TRQUabQu_ym0Zz7PgGX0-kHA/edit?usp=sharing"",""แผน!O75"")"),10)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IFERROR(__xludf.DUMMYFUNCTION("IMPORTRANGE(""https://docs.google.com/spreadsheets/d/1QqKyyYR6Q21VydFLVH3TRQUabQu_ym0Zz7PgGX0-kHA/edit?usp=sharing"",""แผน!P75"")"),1)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IFERROR(__xludf.DUMMYFUNCTION("IMPORTRANGE(""https://docs.google.com/spreadsheets/d/1QqKyyYR6Q21VydFLVH3TRQUabQu_ym0Zz7PgGX0-kHA/edit?usp=sharing"",""แผน!P75"")"),1)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IFERROR(__xludf.DUMMYFUNCTION("IMPORTRANGE(""https://docs.google.com/spreadsheets/d/1QqKyyYR6Q21VydFLVH3TRQUabQu_ym0Zz7PgGX0-kHA/edit?usp=sharing"",""แผน!Q75"")"),1)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IFERROR(__xludf.DUMMYFUNCTION("IMPORTRANGE(""https://docs.google.com/spreadsheets/d/1QqKyyYR6Q21VydFLVH3TRQUabQu_ym0Zz7PgGX0-kHA/edit?usp=sharing"",""แผน!Q75"")"),1)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IFERROR(__xludf.DUMMYFUNCTION("IMPORTRANGE(""https://docs.google.com/spreadsheets/d/1QqKyyYR6Q21VydFLVH3TRQUabQu_ym0Zz7PgGX0-kHA/edit?usp=sharing"",""แผน!R75"")"),10)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IFERROR(__xludf.DUMMYFUNCTION("IMPORTRANGE(""https://docs.google.com/spreadsheets/d/1QqKyyYR6Q21VydFLVH3TRQUabQu_ym0Zz7PgGX0-kHA/edit?usp=sharing"",""แผน!R75"")"),10)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IFERROR(__xludf.DUMMYFUNCTION("IMPORTRANGE(""https://docs.google.com/spreadsheets/d/1QqKyyYR6Q21VydFLVH3TRQUabQu_ym0Zz7PgGX0-kHA/edit?usp=sharing"",""แผน!R75"")"),10)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IFERROR(__xludf.DUMMYFUNCTION("IMPORTRANGE(""https://docs.google.com/spreadsheets/d/1QqKyyYR6Q21VydFLVH3TRQUabQu_ym0Zz7PgGX0-kHA/edit?usp=sharing"",""แผน!S75"")"),1)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IFERROR(__xludf.DUMMYFUNCTION("IMPORTRANGE(""https://docs.google.com/spreadsheets/d/1QqKyyYR6Q21VydFLVH3TRQUabQu_ym0Zz7PgGX0-kHA/edit?usp=sharing"",""แผน!T75"")"),1)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IFERROR(__xludf.DUMMYFUNCTION("IMPORTRANGE(""https://docs.google.com/spreadsheets/d/1MeEWN-I1oV_STSDYn1IFDPWt_1FKiwhDph83XaGc0o0/edit?usp=sharing"",""งบพรบ!BA75"")"),0)</f>
        <v>0</v>
      </c>
      <c r="M124" s="93">
        <f ca="1">IFERROR(__xludf.DUMMYFUNCTION("IMPORTRANGE(""https://docs.google.com/spreadsheets/d/1MeEWN-I1oV_STSDYn1IFDPWt_1FKiwhDph83XaGc0o0/edit?usp=sharing"",""งบพรบ!BF75"")"),0)</f>
        <v>0</v>
      </c>
      <c r="N124" s="93">
        <f ca="1">IFERROR(__xludf.DUMMYFUNCTION("IMPORTRANGE(""https://docs.google.com/spreadsheets/d/1MeEWN-I1oV_STSDYn1IFDPWt_1FKiwhDph83XaGc0o0/edit?usp=sharing"",""งบพรบ!BH75"")"),0)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IFERROR(__xludf.DUMMYFUNCTION("IMPORTRANGE(""https://docs.google.com/spreadsheets/d/1MeEWN-I1oV_STSDYn1IFDPWt_1FKiwhDph83XaGc0o0/edit?usp=sharing"",""งบพรบ!BD75"")"),0)</f>
        <v>0</v>
      </c>
      <c r="M127" s="93">
        <f ca="1">IFERROR(__xludf.DUMMYFUNCTION("IMPORTRANGE(""https://docs.google.com/spreadsheets/d/1MeEWN-I1oV_STSDYn1IFDPWt_1FKiwhDph83XaGc0o0/edit?usp=sharing"",""งบพรบ!BG75"")"),0)</f>
        <v>0</v>
      </c>
      <c r="N127" s="93">
        <f ca="1">IFERROR(__xludf.DUMMYFUNCTION("IMPORTRANGE(""https://docs.google.com/spreadsheets/d/1MeEWN-I1oV_STSDYn1IFDPWt_1FKiwhDph83XaGc0o0/edit?usp=sharing"",""งบพรบ!BI75"")"),0)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IFERROR(__xludf.DUMMYFUNCTION("IMPORTRANGE(""https://docs.google.com/spreadsheets/d/1MeEWN-I1oV_STSDYn1IFDPWt_1FKiwhDph83XaGc0o0/edit?usp=sharing"",""งบพรบ!BK75"")"),0)</f>
        <v>0</v>
      </c>
      <c r="M137" s="93">
        <f ca="1">IFERROR(__xludf.DUMMYFUNCTION("IMPORTRANGE(""https://docs.google.com/spreadsheets/d/1MeEWN-I1oV_STSDYn1IFDPWt_1FKiwhDph83XaGc0o0/edit?usp=sharing"",""งบพรบ!BP75"")"),0)</f>
        <v>0</v>
      </c>
      <c r="N137" s="93">
        <f ca="1">IFERROR(__xludf.DUMMYFUNCTION("IMPORTRANGE(""https://docs.google.com/spreadsheets/d/1MeEWN-I1oV_STSDYn1IFDPWt_1FKiwhDph83XaGc0o0/edit?usp=sharing"",""งบพรบ!BR75"")"),0)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IFERROR(__xludf.DUMMYFUNCTION("IMPORTRANGE(""https://docs.google.com/spreadsheets/d/1MeEWN-I1oV_STSDYn1IFDPWt_1FKiwhDph83XaGc0o0/edit?usp=sharing"",""งบพรบ!BN75"")"),0)</f>
        <v>0</v>
      </c>
      <c r="M140" s="93">
        <f ca="1">IFERROR(__xludf.DUMMYFUNCTION("IMPORTRANGE(""https://docs.google.com/spreadsheets/d/1MeEWN-I1oV_STSDYn1IFDPWt_1FKiwhDph83XaGc0o0/edit?usp=sharing"",""งบพรบ!BQ75"")"),0)</f>
        <v>0</v>
      </c>
      <c r="N140" s="93">
        <f ca="1">IFERROR(__xludf.DUMMYFUNCTION("IMPORTRANGE(""https://docs.google.com/spreadsheets/d/1MeEWN-I1oV_STSDYn1IFDPWt_1FKiwhDph83XaGc0o0/edit?usp=sharing"",""งบพรบ!BS75"")"),0)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IFERROR(__xludf.DUMMYFUNCTION("IMPORTRANGE(""https://docs.google.com/spreadsheets/d/1QqKyyYR6Q21VydFLVH3TRQUabQu_ym0Zz7PgGX0-kHA/edit?usp=sharing"",""แผน!U75"")"),0)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IFERROR(__xludf.DUMMYFUNCTION("IMPORTRANGE(""https://docs.google.com/spreadsheets/d/1QqKyyYR6Q21VydFLVH3TRQUabQu_ym0Zz7PgGX0-kHA/edit?usp=sharing"",""แผน!V75"")"),0)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IFERROR(__xludf.DUMMYFUNCTION("IMPORTRANGE(""https://docs.google.com/spreadsheets/d/1QqKyyYR6Q21VydFLVH3TRQUabQu_ym0Zz7PgGX0-kHA/edit?usp=sharing"",""แผน!W75"")"),0)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16980</v>
      </c>
      <c r="N149" s="155">
        <f t="shared" ca="1" si="77"/>
        <v>16980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16980</v>
      </c>
      <c r="N151" s="93">
        <f t="shared" ca="1" si="80"/>
        <v>16980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16980</v>
      </c>
      <c r="N152" s="498">
        <f t="shared" ca="1" si="81"/>
        <v>16980</v>
      </c>
      <c r="O152" s="498">
        <f t="shared" ca="1" si="78"/>
        <v>0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IFERROR(__xludf.DUMMYFUNCTION("IMPORTRANGE(""https://docs.google.com/spreadsheets/d/1MeEWN-I1oV_STSDYn1IFDPWt_1FKiwhDph83XaGc0o0/edit?usp=sharing"",""งบพรบ!BU75"")"),0)</f>
        <v>0</v>
      </c>
      <c r="M154" s="93">
        <f ca="1">IFERROR(__xludf.DUMMYFUNCTION("IMPORTRANGE(""https://docs.google.com/spreadsheets/d/1MeEWN-I1oV_STSDYn1IFDPWt_1FKiwhDph83XaGc0o0/edit?usp=sharing"",""งบพรบ!BZ75"")"),16980)</f>
        <v>16980</v>
      </c>
      <c r="N154" s="93">
        <f ca="1">IFERROR(__xludf.DUMMYFUNCTION("IMPORTRANGE(""https://docs.google.com/spreadsheets/d/1MeEWN-I1oV_STSDYn1IFDPWt_1FKiwhDph83XaGc0o0/edit?usp=sharing"",""งบพรบ!CB75"")"),16980)</f>
        <v>16980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IFERROR(__xludf.DUMMYFUNCTION("IMPORTRANGE(""https://docs.google.com/spreadsheets/d/1MeEWN-I1oV_STSDYn1IFDPWt_1FKiwhDph83XaGc0o0/edit?usp=sharing"",""งบพรบ!BX75"")"),0)</f>
        <v>0</v>
      </c>
      <c r="M157" s="93">
        <f ca="1">IFERROR(__xludf.DUMMYFUNCTION("IMPORTRANGE(""https://docs.google.com/spreadsheets/d/1MeEWN-I1oV_STSDYn1IFDPWt_1FKiwhDph83XaGc0o0/edit?usp=sharing"",""งบพรบ!CA75"")"),0)</f>
        <v>0</v>
      </c>
      <c r="N157" s="93">
        <f ca="1">IFERROR(__xludf.DUMMYFUNCTION("IMPORTRANGE(""https://docs.google.com/spreadsheets/d/1MeEWN-I1oV_STSDYn1IFDPWt_1FKiwhDph83XaGc0o0/edit?usp=sharing"",""งบพรบ!CC75"")"),0)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IFERROR(__xludf.DUMMYFUNCTION("IMPORTRANGE(""https://docs.google.com/spreadsheets/d/1QqKyyYR6Q21VydFLVH3TRQUabQu_ym0Zz7PgGX0-kHA/edit?usp=sharing"",""แผน!X75"")"),0)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65">
        <f t="shared" ref="I164:J164" ca="1" si="83">I174+I177</f>
        <v>0</v>
      </c>
      <c r="J164" s="865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0</v>
      </c>
      <c r="M168" s="498">
        <f t="shared" ca="1" si="88"/>
        <v>0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IFERROR(__xludf.DUMMYFUNCTION("IMPORTRANGE(""https://docs.google.com/spreadsheets/d/1MeEWN-I1oV_STSDYn1IFDPWt_1FKiwhDph83XaGc0o0/edit?usp=sharing"",""งบพรบ!CE75"")"),0)</f>
        <v>0</v>
      </c>
      <c r="M170" s="93">
        <f ca="1">IFERROR(__xludf.DUMMYFUNCTION("IMPORTRANGE(""https://docs.google.com/spreadsheets/d/1MeEWN-I1oV_STSDYn1IFDPWt_1FKiwhDph83XaGc0o0/edit?usp=sharing"",""งบพรบ!CJ75"")"),0)</f>
        <v>0</v>
      </c>
      <c r="N170" s="93">
        <f ca="1">IFERROR(__xludf.DUMMYFUNCTION("IMPORTRANGE(""https://docs.google.com/spreadsheets/d/1MeEWN-I1oV_STSDYn1IFDPWt_1FKiwhDph83XaGc0o0/edit?usp=sharing"",""งบพรบ!CL75"")"),0)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IFERROR(__xludf.DUMMYFUNCTION("IMPORTRANGE(""https://docs.google.com/spreadsheets/d/1MeEWN-I1oV_STSDYn1IFDPWt_1FKiwhDph83XaGc0o0/edit?usp=sharing"",""งบพรบ!CH75"")"),0)</f>
        <v>0</v>
      </c>
      <c r="M173" s="93">
        <f ca="1">IFERROR(__xludf.DUMMYFUNCTION("IMPORTRANGE(""https://docs.google.com/spreadsheets/d/1MeEWN-I1oV_STSDYn1IFDPWt_1FKiwhDph83XaGc0o0/edit?usp=sharing"",""งบพรบ!CK75"")"),0)</f>
        <v>0</v>
      </c>
      <c r="N173" s="93">
        <f ca="1">IFERROR(__xludf.DUMMYFUNCTION("IMPORTRANGE(""https://docs.google.com/spreadsheets/d/1MeEWN-I1oV_STSDYn1IFDPWt_1FKiwhDph83XaGc0o0/edit?usp=sharing"",""งบพรบ!CM75"")"),0)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IFERROR(__xludf.DUMMYFUNCTION("IMPORTRANGE(""https://docs.google.com/spreadsheets/d/1QqKyyYR6Q21VydFLVH3TRQUabQu_ym0Zz7PgGX0-kHA/edit?usp=sharing"",""แผน!Y75"")"),0)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60500</v>
      </c>
      <c r="M181" s="155">
        <f t="shared" ca="1" si="92"/>
        <v>77660</v>
      </c>
      <c r="N181" s="155">
        <f t="shared" ca="1" si="92"/>
        <v>71810</v>
      </c>
      <c r="O181" s="155">
        <f t="shared" ref="O181:O189" ca="1" si="93">IF(L181&gt;0,N181*100/L181,0)</f>
        <v>118.69421487603306</v>
      </c>
      <c r="P181" s="155">
        <f t="shared" ref="P181:P189" ca="1" si="94">IF(M181&gt;0,N181*100/M181,0)</f>
        <v>92.467164563481845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60500</v>
      </c>
      <c r="M183" s="93">
        <f t="shared" ca="1" si="95"/>
        <v>77660</v>
      </c>
      <c r="N183" s="93">
        <f t="shared" ca="1" si="95"/>
        <v>71810</v>
      </c>
      <c r="O183" s="93">
        <f t="shared" ca="1" si="93"/>
        <v>118.69421487603306</v>
      </c>
      <c r="P183" s="93">
        <f t="shared" ca="1" si="94"/>
        <v>92.467164563481845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60500</v>
      </c>
      <c r="M184" s="498">
        <f t="shared" ca="1" si="96"/>
        <v>77660</v>
      </c>
      <c r="N184" s="498">
        <f t="shared" ca="1" si="96"/>
        <v>71810</v>
      </c>
      <c r="O184" s="498">
        <f t="shared" ca="1" si="93"/>
        <v>118.69421487603306</v>
      </c>
      <c r="P184" s="498">
        <f t="shared" ca="1" si="94"/>
        <v>92.467164563481845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IFERROR(__xludf.DUMMYFUNCTION("IMPORTRANGE(""https://docs.google.com/spreadsheets/d/1MeEWN-I1oV_STSDYn1IFDPWt_1FKiwhDph83XaGc0o0/edit?usp=sharing"",""งบพรบ!CO75"")"),60500)</f>
        <v>60500</v>
      </c>
      <c r="M186" s="93">
        <f ca="1">IFERROR(__xludf.DUMMYFUNCTION("IMPORTRANGE(""https://docs.google.com/spreadsheets/d/1MeEWN-I1oV_STSDYn1IFDPWt_1FKiwhDph83XaGc0o0/edit?usp=sharing"",""งบพรบ!CT75"")"),77660)</f>
        <v>77660</v>
      </c>
      <c r="N186" s="93">
        <f ca="1">IFERROR(__xludf.DUMMYFUNCTION("IMPORTRANGE(""https://docs.google.com/spreadsheets/d/1MeEWN-I1oV_STSDYn1IFDPWt_1FKiwhDph83XaGc0o0/edit?usp=sharing"",""งบพรบ!CV75"")"),71810)</f>
        <v>71810</v>
      </c>
      <c r="O186" s="93">
        <f t="shared" ca="1" si="93"/>
        <v>118.69421487603306</v>
      </c>
      <c r="P186" s="93">
        <f t="shared" ca="1" si="94"/>
        <v>92.467164563481845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IFERROR(__xludf.DUMMYFUNCTION("IMPORTRANGE(""https://docs.google.com/spreadsheets/d/1MeEWN-I1oV_STSDYn1IFDPWt_1FKiwhDph83XaGc0o0/edit?usp=sharing"",""งบพรบ!CR75"")"),0)</f>
        <v>0</v>
      </c>
      <c r="M189" s="93">
        <f ca="1">IFERROR(__xludf.DUMMYFUNCTION("IMPORTRANGE(""https://docs.google.com/spreadsheets/d/1MeEWN-I1oV_STSDYn1IFDPWt_1FKiwhDph83XaGc0o0/edit?usp=sharing"",""งบพรบ!CU75"")"),0)</f>
        <v>0</v>
      </c>
      <c r="N189" s="93">
        <f ca="1">IFERROR(__xludf.DUMMYFUNCTION("IMPORTRANGE(""https://docs.google.com/spreadsheets/d/1MeEWN-I1oV_STSDYn1IFDPWt_1FKiwhDph83XaGc0o0/edit?usp=sharing"",""งบพรบ!CW75"")"),0)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IFERROR(__xludf.DUMMYFUNCTION("IMPORTRANGE(""https://docs.google.com/spreadsheets/d/1QqKyyYR6Q21VydFLVH3TRQUabQu_ym0Zz7PgGX0-kHA/edit?usp=sharing"",""แผน!Z75"")"),6000)</f>
        <v>6000</v>
      </c>
      <c r="M191" s="155"/>
      <c r="N191" s="276">
        <v>3550</v>
      </c>
      <c r="O191" s="155">
        <f ca="1">IF(L191&gt;0,N191*100/L191,0)</f>
        <v>59.166666666666664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IFERROR(__xludf.DUMMYFUNCTION("IMPORTRANGE(""https://docs.google.com/spreadsheets/d/1QqKyyYR6Q21VydFLVH3TRQUabQu_ym0Zz7PgGX0-kHA/edit?usp=sharing"",""แผน!AC75"")"),4)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34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34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IFERROR(__xludf.DUMMYFUNCTION("IMPORTRANGE(""https://docs.google.com/spreadsheets/d/1QqKyyYR6Q21VydFLVH3TRQUabQu_ym0Zz7PgGX0-kHA/edit?usp=sharing"",""แผน!AE75"")"),2000)</f>
        <v>2000</v>
      </c>
      <c r="M199" s="498"/>
      <c r="N199" s="826">
        <v>1893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IFERROR(__xludf.DUMMYFUNCTION("IMPORTRANGE(""https://docs.google.com/spreadsheets/d/1QqKyyYR6Q21VydFLVH3TRQUabQu_ym0Zz7PgGX0-kHA/edit?usp=sharing"",""แผน!AF75"")"),16000)</f>
        <v>16000</v>
      </c>
      <c r="M200" s="498"/>
      <c r="N200" s="826">
        <v>16017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IFERROR(__xludf.DUMMYFUNCTION("IMPORTRANGE(""https://docs.google.com/spreadsheets/d/1QqKyyYR6Q21VydFLVH3TRQUabQu_ym0Zz7PgGX0-kHA/edit?usp=sharing"",""แผน!AG75"")"),8000)</f>
        <v>8000</v>
      </c>
      <c r="M201" s="498"/>
      <c r="N201" s="826">
        <v>8090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IFERROR(__xludf.DUMMYFUNCTION("IMPORTRANGE(""https://docs.google.com/spreadsheets/d/1QqKyyYR6Q21VydFLVH3TRQUabQu_ym0Zz7PgGX0-kHA/edit?usp=sharing"",""แผน!AH75"")"),0)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IFERROR(__xludf.DUMMYFUNCTION("IMPORTRANGE(""https://docs.google.com/spreadsheets/d/1QqKyyYR6Q21VydFLVH3TRQUabQu_ym0Zz7PgGX0-kHA/edit?usp=sharing"",""แผน!AI75"")"),2)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IFERROR(__xludf.DUMMYFUNCTION("IMPORTRANGE(""https://docs.google.com/spreadsheets/d/1QqKyyYR6Q21VydFLVH3TRQUabQu_ym0Zz7PgGX0-kHA/edit?usp=sharing"",""แผน!AK75"")"),0)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IFERROR(__xludf.DUMMYFUNCTION("IMPORTRANGE(""https://docs.google.com/spreadsheets/d/1QqKyyYR6Q21VydFLVH3TRQUabQu_ym0Zz7PgGX0-kHA/edit?usp=sharing"",""แผน!AL75"")"),0)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IFERROR(__xludf.DUMMYFUNCTION("IMPORTRANGE(""https://docs.google.com/spreadsheets/d/1QqKyyYR6Q21VydFLVH3TRQUabQu_ym0Zz7PgGX0-kHA/edit?usp=sharing"",""แผน!AM75"")"),0)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IFERROR(__xludf.DUMMYFUNCTION("IMPORTRANGE(""https://docs.google.com/spreadsheets/d/1QqKyyYR6Q21VydFLVH3TRQUabQu_ym0Zz7PgGX0-kHA/edit?usp=sharing"",""แผน!AN75"")"),0)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IFERROR(__xludf.DUMMYFUNCTION("IMPORTRANGE(""https://docs.google.com/spreadsheets/d/1QqKyyYR6Q21VydFLVH3TRQUabQu_ym0Zz7PgGX0-kHA/edit?usp=sharing"",""แผน!AN75"")"),0)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28500</v>
      </c>
      <c r="M217" s="155"/>
      <c r="N217" s="155">
        <f>N218+N219+N220</f>
        <v>10000</v>
      </c>
      <c r="O217" s="155">
        <f ca="1">IF(L217&gt;0,N217*100/L217,0)</f>
        <v>35.087719298245617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IFERROR(__xludf.DUMMYFUNCTION("IMPORTRANGE(""https://docs.google.com/spreadsheets/d/1QqKyyYR6Q21VydFLVH3TRQUabQu_ym0Zz7PgGX0-kHA/edit?usp=sharing"",""แผน!AP75"")"),5000)</f>
        <v>5000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IFERROR(__xludf.DUMMYFUNCTION("IMPORTRANGE(""https://docs.google.com/spreadsheets/d/1QqKyyYR6Q21VydFLVH3TRQUabQu_ym0Zz7PgGX0-kHA/edit?usp=sharing"",""แผน!AQ75"")"),13500)</f>
        <v>13500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IFERROR(__xludf.DUMMYFUNCTION("IMPORTRANGE(""https://docs.google.com/spreadsheets/d/1QqKyyYR6Q21VydFLVH3TRQUabQu_ym0Zz7PgGX0-kHA/edit?usp=sharing"",""แผน!AR75"")"),10000)</f>
        <v>10000</v>
      </c>
      <c r="M220" s="498"/>
      <c r="N220" s="826">
        <v>10000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IFERROR(__xludf.DUMMYFUNCTION("IMPORTRANGE(""https://docs.google.com/spreadsheets/d/1QqKyyYR6Q21VydFLVH3TRQUabQu_ym0Zz7PgGX0-kHA/edit?usp=sharing"",""แผน!AT75"")"),50000)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IFERROR(__xludf.DUMMYFUNCTION("IMPORTRANGE(""https://docs.google.com/spreadsheets/d/1QqKyyYR6Q21VydFLVH3TRQUabQu_ym0Zz7PgGX0-kHA/edit?usp=sharing"",""แผน!AT75"")"),50000)</f>
        <v>50000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IFERROR(__xludf.DUMMYFUNCTION("IMPORTRANGE(""https://docs.google.com/spreadsheets/d/1QqKyyYR6Q21VydFLVH3TRQUabQu_ym0Zz7PgGX0-kHA/edit?usp=sharing"",""แผน!AS75"")"),10)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IFERROR(__xludf.DUMMYFUNCTION("IMPORTRANGE(""https://docs.google.com/spreadsheets/d/1QqKyyYR6Q21VydFLVH3TRQUabQu_ym0Zz7PgGX0-kHA/edit?usp=sharing"",""แผน!AV75"")"),0)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IFERROR(__xludf.DUMMYFUNCTION("IMPORTRANGE(""https://docs.google.com/spreadsheets/d/1QqKyyYR6Q21VydFLVH3TRQUabQu_ym0Zz7PgGX0-kHA/edit?usp=sharing"",""แผน!AW75"")"),0)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IFERROR(__xludf.DUMMYFUNCTION("IMPORTRANGE(""https://docs.google.com/spreadsheets/d/1QqKyyYR6Q21VydFLVH3TRQUabQu_ym0Zz7PgGX0-kHA/edit?usp=sharing"",""แผน!AX75"")"),0)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IFERROR(__xludf.DUMMYFUNCTION("IMPORTRANGE(""https://docs.google.com/spreadsheets/d/1QqKyyYR6Q21VydFLVH3TRQUabQu_ym0Zz7PgGX0-kHA/edit?usp=sharing"",""แผน!AY75"")"),0)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IFERROR(__xludf.DUMMYFUNCTION("IMPORTRANGE(""https://docs.google.com/spreadsheets/d/1QqKyyYR6Q21VydFLVH3TRQUabQu_ym0Zz7PgGX0-kHA/edit?usp=sharing"",""แผน!BE75"")"),0)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IFERROR(__xludf.DUMMYFUNCTION("IMPORTRANGE(""https://docs.google.com/spreadsheets/d/1QqKyyYR6Q21VydFLVH3TRQUabQu_ym0Zz7PgGX0-kHA/edit?usp=sharing"",""แผน!AZ75"")"),0)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IFERROR(__xludf.DUMMYFUNCTION("IMPORTRANGE(""https://docs.google.com/spreadsheets/d/1QqKyyYR6Q21VydFLVH3TRQUabQu_ym0Zz7PgGX0-kHA/edit?usp=sharing"",""แผน!BA75"")"),0)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IFERROR(__xludf.DUMMYFUNCTION("IMPORTRANGE(""https://docs.google.com/spreadsheets/d/1QqKyyYR6Q21VydFLVH3TRQUabQu_ym0Zz7PgGX0-kHA/edit?usp=sharing"",""แผน!BB75"")"),0)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IFERROR(__xludf.DUMMYFUNCTION("IMPORTRANGE(""https://docs.google.com/spreadsheets/d/1QqKyyYR6Q21VydFLVH3TRQUabQu_ym0Zz7PgGX0-kHA/edit?usp=sharing"",""แผน!BC75"")"),0)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IFERROR(__xludf.DUMMYFUNCTION("IMPORTRANGE(""https://docs.google.com/spreadsheets/d/1QqKyyYR6Q21VydFLVH3TRQUabQu_ym0Zz7PgGX0-kHA/edit?usp=sharing"",""แผน!BF75"")"),0)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1000</v>
      </c>
      <c r="O261" s="155">
        <f t="shared" ref="O261:O269" ca="1" si="117">IF(L261&gt;0,N261*100/L261,0)</f>
        <v>3.7174721189591078</v>
      </c>
      <c r="P261" s="155">
        <f t="shared" ref="P261:P269" ca="1" si="118">IF(M261&gt;0,N261*100/M261,0)</f>
        <v>3.7174721189591078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1000</v>
      </c>
      <c r="O263" s="93">
        <f t="shared" ca="1" si="117"/>
        <v>3.7174721189591078</v>
      </c>
      <c r="P263" s="93">
        <f t="shared" ca="1" si="118"/>
        <v>3.7174721189591078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26900</v>
      </c>
      <c r="N264" s="498">
        <f t="shared" ca="1" si="120"/>
        <v>1000</v>
      </c>
      <c r="O264" s="498">
        <f t="shared" ca="1" si="117"/>
        <v>3.7174721189591078</v>
      </c>
      <c r="P264" s="498">
        <f t="shared" ca="1" si="118"/>
        <v>3.7174721189591078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IFERROR(__xludf.DUMMYFUNCTION("IMPORTRANGE(""https://docs.google.com/spreadsheets/d/1MeEWN-I1oV_STSDYn1IFDPWt_1FKiwhDph83XaGc0o0/edit?usp=sharing"",""งบพรบ!CY75"")"),26900)</f>
        <v>26900</v>
      </c>
      <c r="M266" s="93">
        <f ca="1">IFERROR(__xludf.DUMMYFUNCTION("IMPORTRANGE(""https://docs.google.com/spreadsheets/d/1MeEWN-I1oV_STSDYn1IFDPWt_1FKiwhDph83XaGc0o0/edit?usp=sharing"",""งบพรบ!DD75"")"),26900)</f>
        <v>26900</v>
      </c>
      <c r="N266" s="93">
        <f ca="1">IFERROR(__xludf.DUMMYFUNCTION("IMPORTRANGE(""https://docs.google.com/spreadsheets/d/1MeEWN-I1oV_STSDYn1IFDPWt_1FKiwhDph83XaGc0o0/edit?usp=sharing"",""งบพรบ!DF75"")"),1000)</f>
        <v>1000</v>
      </c>
      <c r="O266" s="93">
        <f t="shared" ca="1" si="117"/>
        <v>3.7174721189591078</v>
      </c>
      <c r="P266" s="93">
        <f t="shared" ca="1" si="118"/>
        <v>3.7174721189591078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IFERROR(__xludf.DUMMYFUNCTION("IMPORTRANGE(""https://docs.google.com/spreadsheets/d/1MeEWN-I1oV_STSDYn1IFDPWt_1FKiwhDph83XaGc0o0/edit?usp=sharing"",""งบพรบ!DB75"")"),0)</f>
        <v>0</v>
      </c>
      <c r="M269" s="93">
        <f ca="1">IFERROR(__xludf.DUMMYFUNCTION("IMPORTRANGE(""https://docs.google.com/spreadsheets/d/1MeEWN-I1oV_STSDYn1IFDPWt_1FKiwhDph83XaGc0o0/edit?usp=sharing"",""งบพรบ!DE75"")"),0)</f>
        <v>0</v>
      </c>
      <c r="N269" s="93">
        <f ca="1">IFERROR(__xludf.DUMMYFUNCTION("IMPORTRANGE(""https://docs.google.com/spreadsheets/d/1MeEWN-I1oV_STSDYn1IFDPWt_1FKiwhDph83XaGc0o0/edit?usp=sharing"",""งบพรบ!DG75"")"),0)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IFERROR(__xludf.DUMMYFUNCTION("IMPORTRANGE(""https://docs.google.com/spreadsheets/d/1QqKyyYR6Q21VydFLVH3TRQUabQu_ym0Zz7PgGX0-kHA/edit?usp=sharing"",""แผน!EA75"")"),22)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50</v>
      </c>
      <c r="J276" s="406">
        <f t="shared" si="124"/>
        <v>50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21525</v>
      </c>
      <c r="O277" s="155">
        <f t="shared" ref="O277:O285" ca="1" si="126">IF(L277&gt;0,N277*100/L277,0)</f>
        <v>95.117101193106492</v>
      </c>
      <c r="P277" s="155">
        <f t="shared" ref="P277:P285" ca="1" si="127">IF(M277&gt;0,N277*100/M277,0)</f>
        <v>95.117101193106492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21525</v>
      </c>
      <c r="O279" s="93">
        <f t="shared" ca="1" si="126"/>
        <v>95.117101193106492</v>
      </c>
      <c r="P279" s="93">
        <f t="shared" ca="1" si="127"/>
        <v>95.117101193106492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22630</v>
      </c>
      <c r="M280" s="498">
        <f t="shared" ca="1" si="129"/>
        <v>22630</v>
      </c>
      <c r="N280" s="498">
        <f t="shared" ca="1" si="129"/>
        <v>21525</v>
      </c>
      <c r="O280" s="498">
        <f t="shared" ca="1" si="126"/>
        <v>95.117101193106492</v>
      </c>
      <c r="P280" s="498">
        <f t="shared" ca="1" si="127"/>
        <v>95.117101193106492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IFERROR(__xludf.DUMMYFUNCTION("IMPORTRANGE(""https://docs.google.com/spreadsheets/d/1MeEWN-I1oV_STSDYn1IFDPWt_1FKiwhDph83XaGc0o0/edit?usp=sharing"",""งบพรบ!DI75"")"),22630)</f>
        <v>22630</v>
      </c>
      <c r="M282" s="93">
        <f ca="1">IFERROR(__xludf.DUMMYFUNCTION("IMPORTRANGE(""https://docs.google.com/spreadsheets/d/1MeEWN-I1oV_STSDYn1IFDPWt_1FKiwhDph83XaGc0o0/edit?usp=sharing"",""งบพรบ!DN75"")"),22630)</f>
        <v>22630</v>
      </c>
      <c r="N282" s="93">
        <f ca="1">IFERROR(__xludf.DUMMYFUNCTION("IMPORTRANGE(""https://docs.google.com/spreadsheets/d/1MeEWN-I1oV_STSDYn1IFDPWt_1FKiwhDph83XaGc0o0/edit?usp=sharing"",""งบพรบ!DP75"")"),21525)</f>
        <v>21525</v>
      </c>
      <c r="O282" s="93">
        <f t="shared" ca="1" si="126"/>
        <v>95.117101193106492</v>
      </c>
      <c r="P282" s="93">
        <f t="shared" ca="1" si="127"/>
        <v>95.117101193106492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IFERROR(__xludf.DUMMYFUNCTION("IMPORTRANGE(""https://docs.google.com/spreadsheets/d/1MeEWN-I1oV_STSDYn1IFDPWt_1FKiwhDph83XaGc0o0/edit?usp=sharing"",""งบพรบ!DL75"")"),0)</f>
        <v>0</v>
      </c>
      <c r="M285" s="93">
        <f ca="1">IFERROR(__xludf.DUMMYFUNCTION("IMPORTRANGE(""https://docs.google.com/spreadsheets/d/1MeEWN-I1oV_STSDYn1IFDPWt_1FKiwhDph83XaGc0o0/edit?usp=sharing"",""งบพรบ!DO75"")"),0)</f>
        <v>0</v>
      </c>
      <c r="N285" s="93">
        <f ca="1">IFERROR(__xludf.DUMMYFUNCTION("IMPORTRANGE(""https://docs.google.com/spreadsheets/d/1MeEWN-I1oV_STSDYn1IFDPWt_1FKiwhDph83XaGc0o0/edit?usp=sharing"",""งบพรบ!DQ75"")"),0)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IFERROR(__xludf.DUMMYFUNCTION("IMPORTRANGE(""https://docs.google.com/spreadsheets/d/1QqKyyYR6Q21VydFLVH3TRQUabQu_ym0Zz7PgGX0-kHA/edit?usp=sharing"",""แผน!EC75"")"),50)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IFERROR(__xludf.DUMMYFUNCTION("IMPORTRANGE(""https://docs.google.com/spreadsheets/d/1QqKyyYR6Q21VydFLVH3TRQUabQu_ym0Zz7PgGX0-kHA/edit?usp=sharing"",""แผน!EB75"")"),5)</f>
        <v>5</v>
      </c>
      <c r="J288" s="680">
        <f ca="1">IF(AND(J291&gt;=I288,J294&gt;=I288),J294,0)</f>
        <v>5</v>
      </c>
      <c r="K288" s="412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IFERROR(__xludf.DUMMYFUNCTION("IMPORTRANGE(""https://docs.google.com/spreadsheets/d/1QqKyyYR6Q21VydFLVH3TRQUabQu_ym0Zz7PgGX0-kHA/edit?usp=sharing"",""แผน!EB75"")"),5)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5" t="s">
        <v>133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IFERROR(__xludf.DUMMYFUNCTION("IMPORTRANGE(""https://docs.google.com/spreadsheets/d/1QqKyyYR6Q21VydFLVH3TRQUabQu_ym0Zz7PgGX0-kHA/edit?usp=sharing"",""แผน!EB75"")"),5)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IFERROR(__xludf.DUMMYFUNCTION("IMPORTRANGE(""https://docs.google.com/spreadsheets/d/1QqKyyYR6Q21VydFLVH3TRQUabQu_ym0Zz7PgGX0-kHA/edit?usp=sharing"",""แผน!EB75"")"),5)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3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IFERROR(__xludf.DUMMYFUNCTION("IMPORTRANGE(""https://docs.google.com/spreadsheets/d/1QqKyyYR6Q21VydFLVH3TRQUabQu_ym0Zz7PgGX0-kHA/edit?usp=sharing"",""แผน!EB75"")"),5)</f>
        <v>5</v>
      </c>
      <c r="J294" s="425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IFERROR(__xludf.DUMMYFUNCTION("IMPORTRANGE(""https://docs.google.com/spreadsheets/d/1MeEWN-I1oV_STSDYn1IFDPWt_1FKiwhDph83XaGc0o0/edit?usp=sharing"",""งบพรบ!DS75"")"),0)</f>
        <v>0</v>
      </c>
      <c r="M303" s="93">
        <f ca="1">IFERROR(__xludf.DUMMYFUNCTION("IMPORTRANGE(""https://docs.google.com/spreadsheets/d/1MeEWN-I1oV_STSDYn1IFDPWt_1FKiwhDph83XaGc0o0/edit?usp=sharing"",""งบพรบ!DX75"")"),0)</f>
        <v>0</v>
      </c>
      <c r="N303" s="93">
        <f ca="1">IFERROR(__xludf.DUMMYFUNCTION("IMPORTRANGE(""https://docs.google.com/spreadsheets/d/1MeEWN-I1oV_STSDYn1IFDPWt_1FKiwhDph83XaGc0o0/edit?usp=sharing"",""งบพรบ!DZ75"")"),0)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IFERROR(__xludf.DUMMYFUNCTION("IMPORTRANGE(""https://docs.google.com/spreadsheets/d/1MeEWN-I1oV_STSDYn1IFDPWt_1FKiwhDph83XaGc0o0/edit?usp=sharing"",""งบพรบ!DV75"")"),0)</f>
        <v>0</v>
      </c>
      <c r="M306" s="93">
        <f ca="1">IFERROR(__xludf.DUMMYFUNCTION("IMPORTRANGE(""https://docs.google.com/spreadsheets/d/1MeEWN-I1oV_STSDYn1IFDPWt_1FKiwhDph83XaGc0o0/edit?usp=sharing"",""งบพรบ!DY75"")"),0)</f>
        <v>0</v>
      </c>
      <c r="N306" s="93">
        <f ca="1">IFERROR(__xludf.DUMMYFUNCTION("IMPORTRANGE(""https://docs.google.com/spreadsheets/d/1MeEWN-I1oV_STSDYn1IFDPWt_1FKiwhDph83XaGc0o0/edit?usp=sharing"",""งบพรบ!EA75"")"),0)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IFERROR(__xludf.DUMMYFUNCTION("IMPORTRANGE(""https://docs.google.com/spreadsheets/d/1QqKyyYR6Q21VydFLVH3TRQUabQu_ym0Zz7PgGX0-kHA/edit?usp=sharing"",""แผน!ED75"")"),0)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IFERROR(__xludf.DUMMYFUNCTION("IMPORTRANGE(""https://docs.google.com/spreadsheets/d/1QqKyyYR6Q21VydFLVH3TRQUabQu_ym0Zz7PgGX0-kHA/edit?usp=sharing"",""แผน!ED75"")"),0)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IFERROR(__xludf.DUMMYFUNCTION("IMPORTRANGE(""https://docs.google.com/spreadsheets/d/1QqKyyYR6Q21VydFLVH3TRQUabQu_ym0Zz7PgGX0-kHA/edit?usp=sharing"",""แผน!ED75"")"),0)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IFERROR(__xludf.DUMMYFUNCTION("IMPORTRANGE(""https://docs.google.com/spreadsheets/d/1QqKyyYR6Q21VydFLVH3TRQUabQu_ym0Zz7PgGX0-kHA/edit?usp=sharing"",""แผน!EE75"")"),0)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2</v>
      </c>
      <c r="J314" s="445">
        <f t="shared" si="142"/>
        <v>2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3753000</v>
      </c>
      <c r="M315" s="155">
        <f t="shared" ca="1" si="143"/>
        <v>3784721.19</v>
      </c>
      <c r="N315" s="155">
        <f t="shared" ca="1" si="143"/>
        <v>3731348.71</v>
      </c>
      <c r="O315" s="155">
        <f t="shared" ref="O315:O323" ca="1" si="144">IF(L315&gt;0,N315*100/L315,0)</f>
        <v>99.423093791633363</v>
      </c>
      <c r="P315" s="155">
        <f t="shared" ref="P315:P323" ca="1" si="145">IF(M315&gt;0,N315*100/M315,0)</f>
        <v>98.589790969516571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3753000</v>
      </c>
      <c r="M317" s="93">
        <f t="shared" ca="1" si="146"/>
        <v>3784721.19</v>
      </c>
      <c r="N317" s="93">
        <f t="shared" ca="1" si="146"/>
        <v>3731348.71</v>
      </c>
      <c r="O317" s="93">
        <f t="shared" ca="1" si="144"/>
        <v>99.423093791633363</v>
      </c>
      <c r="P317" s="93">
        <f t="shared" ca="1" si="145"/>
        <v>98.589790969516571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153000</v>
      </c>
      <c r="M318" s="498">
        <f t="shared" ca="1" si="147"/>
        <v>250900</v>
      </c>
      <c r="N318" s="498">
        <f t="shared" ca="1" si="147"/>
        <v>197527.52</v>
      </c>
      <c r="O318" s="498">
        <f t="shared" ca="1" si="144"/>
        <v>129.10295424836602</v>
      </c>
      <c r="P318" s="498">
        <f t="shared" ca="1" si="145"/>
        <v>78.727588680749307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IFERROR(__xludf.DUMMYFUNCTION("IMPORTRANGE(""https://docs.google.com/spreadsheets/d/1MeEWN-I1oV_STSDYn1IFDPWt_1FKiwhDph83XaGc0o0/edit?usp=sharing"",""งบพรบ!EC75"")"),153000)</f>
        <v>153000</v>
      </c>
      <c r="M320" s="93">
        <f ca="1">IFERROR(__xludf.DUMMYFUNCTION("IMPORTRANGE(""https://docs.google.com/spreadsheets/d/1MeEWN-I1oV_STSDYn1IFDPWt_1FKiwhDph83XaGc0o0/edit?usp=sharing"",""งบพรบ!EH75"")"),250900)</f>
        <v>250900</v>
      </c>
      <c r="N320" s="93">
        <f ca="1">IFERROR(__xludf.DUMMYFUNCTION("IMPORTRANGE(""https://docs.google.com/spreadsheets/d/1MeEWN-I1oV_STSDYn1IFDPWt_1FKiwhDph83XaGc0o0/edit?usp=sharing"",""งบพรบ!EJ75"")"),197527.52)</f>
        <v>197527.52</v>
      </c>
      <c r="O320" s="93">
        <f t="shared" ca="1" si="144"/>
        <v>129.10295424836602</v>
      </c>
      <c r="P320" s="93">
        <f t="shared" ca="1" si="145"/>
        <v>78.727588680749307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3600000</v>
      </c>
      <c r="M321" s="498">
        <f t="shared" ca="1" si="148"/>
        <v>3533821.19</v>
      </c>
      <c r="N321" s="498">
        <f t="shared" ca="1" si="148"/>
        <v>3533821.19</v>
      </c>
      <c r="O321" s="498">
        <f t="shared" ca="1" si="144"/>
        <v>98.161699722222224</v>
      </c>
      <c r="P321" s="498">
        <f t="shared" ca="1" si="145"/>
        <v>100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IFERROR(__xludf.DUMMYFUNCTION("IMPORTRANGE(""https://docs.google.com/spreadsheets/d/1MeEWN-I1oV_STSDYn1IFDPWt_1FKiwhDph83XaGc0o0/edit?usp=sharing"",""งบพรบ!EF75"")"),3600000)</f>
        <v>3600000</v>
      </c>
      <c r="M323" s="93">
        <f ca="1">IFERROR(__xludf.DUMMYFUNCTION("IMPORTRANGE(""https://docs.google.com/spreadsheets/d/1MeEWN-I1oV_STSDYn1IFDPWt_1FKiwhDph83XaGc0o0/edit?usp=sharing"",""งบพรบ!EI75"")"),3533821.19)</f>
        <v>3533821.19</v>
      </c>
      <c r="N323" s="93">
        <f ca="1">IFERROR(__xludf.DUMMYFUNCTION("IMPORTRANGE(""https://docs.google.com/spreadsheets/d/1MeEWN-I1oV_STSDYn1IFDPWt_1FKiwhDph83XaGc0o0/edit?usp=sharing"",""งบพรบ!EK75"")"),3533821.19)</f>
        <v>3533821.19</v>
      </c>
      <c r="O323" s="93">
        <f t="shared" ca="1" si="144"/>
        <v>98.161699722222224</v>
      </c>
      <c r="P323" s="93">
        <f t="shared" ca="1" si="145"/>
        <v>100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IFERROR(__xludf.DUMMYFUNCTION("IMPORTRANGE(""https://docs.google.com/spreadsheets/d/1QqKyyYR6Q21VydFLVH3TRQUabQu_ym0Zz7PgGX0-kHA/edit?usp=sharing"",""แผน!EF75"")"),2)</f>
        <v>2</v>
      </c>
      <c r="J325" s="215">
        <v>2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IFERROR(__xludf.DUMMYFUNCTION("IMPORTRANGE(""https://docs.google.com/spreadsheets/d/1QqKyyYR6Q21VydFLVH3TRQUabQu_ym0Zz7PgGX0-kHA/edit?usp=sharing"",""แผน!EG75"")"),2000)</f>
        <v>2000</v>
      </c>
      <c r="J327" s="445">
        <f ca="1">J338+J341+J342+J343</f>
        <v>2669</v>
      </c>
      <c r="K327" s="446">
        <f ca="1">IF(I327&gt;0,J327*100/I327,0)</f>
        <v>133.44999999999999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168000</v>
      </c>
      <c r="M328" s="155">
        <f t="shared" ca="1" si="149"/>
        <v>170500</v>
      </c>
      <c r="N328" s="155">
        <f t="shared" ca="1" si="149"/>
        <v>124622.28</v>
      </c>
      <c r="O328" s="155">
        <f t="shared" ref="O328:O336" ca="1" si="150">IF(L328&gt;0,N328*100/L328,0)</f>
        <v>74.179928571428576</v>
      </c>
      <c r="P328" s="155">
        <f t="shared" ref="P328:P336" ca="1" si="151">IF(M328&gt;0,N328*100/M328,0)</f>
        <v>73.092246334310857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168000</v>
      </c>
      <c r="M330" s="93">
        <f t="shared" ca="1" si="152"/>
        <v>170500</v>
      </c>
      <c r="N330" s="93">
        <f t="shared" ca="1" si="152"/>
        <v>124622.28</v>
      </c>
      <c r="O330" s="93">
        <f t="shared" ca="1" si="150"/>
        <v>74.179928571428576</v>
      </c>
      <c r="P330" s="93">
        <f t="shared" ca="1" si="151"/>
        <v>73.092246334310857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168000</v>
      </c>
      <c r="M331" s="498">
        <f t="shared" ca="1" si="153"/>
        <v>170500</v>
      </c>
      <c r="N331" s="498">
        <f t="shared" ca="1" si="153"/>
        <v>124622.28</v>
      </c>
      <c r="O331" s="498">
        <f t="shared" ca="1" si="150"/>
        <v>74.179928571428576</v>
      </c>
      <c r="P331" s="498">
        <f t="shared" ca="1" si="151"/>
        <v>73.092246334310857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IFERROR(__xludf.DUMMYFUNCTION("IMPORTRANGE(""https://docs.google.com/spreadsheets/d/1MeEWN-I1oV_STSDYn1IFDPWt_1FKiwhDph83XaGc0o0/edit?usp=sharing"",""งบพรบ!EM75"")"),168000)</f>
        <v>168000</v>
      </c>
      <c r="M333" s="93">
        <f ca="1">IFERROR(__xludf.DUMMYFUNCTION("IMPORTRANGE(""https://docs.google.com/spreadsheets/d/1MeEWN-I1oV_STSDYn1IFDPWt_1FKiwhDph83XaGc0o0/edit?usp=sharing"",""งบพรบ!ER75"")"),170500)</f>
        <v>170500</v>
      </c>
      <c r="N333" s="93">
        <f ca="1">IFERROR(__xludf.DUMMYFUNCTION("IMPORTRANGE(""https://docs.google.com/spreadsheets/d/1MeEWN-I1oV_STSDYn1IFDPWt_1FKiwhDph83XaGc0o0/edit?usp=sharing"",""งบพรบ!ET75"")"),124622.28)</f>
        <v>124622.28</v>
      </c>
      <c r="O333" s="93">
        <f t="shared" ca="1" si="150"/>
        <v>74.179928571428576</v>
      </c>
      <c r="P333" s="93">
        <f t="shared" ca="1" si="151"/>
        <v>73.092246334310857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IFERROR(__xludf.DUMMYFUNCTION("IMPORTRANGE(""https://docs.google.com/spreadsheets/d/1MeEWN-I1oV_STSDYn1IFDPWt_1FKiwhDph83XaGc0o0/edit?usp=sharing"",""งบพรบ!EP75"")"),0)</f>
        <v>0</v>
      </c>
      <c r="M336" s="93">
        <f ca="1">IFERROR(__xludf.DUMMYFUNCTION("IMPORTRANGE(""https://docs.google.com/spreadsheets/d/1MeEWN-I1oV_STSDYn1IFDPWt_1FKiwhDph83XaGc0o0/edit?usp=sharing"",""งบพรบ!ES75"")"),0)</f>
        <v>0</v>
      </c>
      <c r="N336" s="93">
        <f ca="1">IFERROR(__xludf.DUMMYFUNCTION("IMPORTRANGE(""https://docs.google.com/spreadsheets/d/1MeEWN-I1oV_STSDYn1IFDPWt_1FKiwhDph83XaGc0o0/edit?usp=sharing"",""งบพรบ!EU75"")"),0)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IFERROR(__xludf.DUMMYFUNCTION("IMPORTRANGE(""https://docs.google.com/spreadsheets/d/1QqKyyYR6Q21VydFLVH3TRQUabQu_ym0Zz7PgGX0-kHA/edit?usp=sharing"",""แผน!EG75"")"),2000)</f>
        <v>2000</v>
      </c>
      <c r="J338" s="270">
        <f ca="1">IFERROR(__xludf.DUMMYFUNCTION("IMPORTRANGE(""https://docs.google.com/spreadsheets/d/1kVcqe37tkHyjCSG3S0O1AXqVkqjo8mSIZil3BcpIysc/edit?usp=sharing"",""ศูนย์!D75"")"),2616)</f>
        <v>2616</v>
      </c>
      <c r="K338" s="498">
        <f ca="1">IF(I338&gt;0,J338*100/I338,0)</f>
        <v>130.80000000000001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IFERROR(__xludf.DUMMYFUNCTION("IMPORTRANGE(""https://docs.google.com/spreadsheets/d/1QqKyyYR6Q21VydFLVH3TRQUabQu_ym0Zz7PgGX0-kHA/edit?usp=sharing"",""แผน!EH75"")"),5)</f>
        <v>5</v>
      </c>
      <c r="J340" s="270">
        <f ca="1">IFERROR(__xludf.DUMMYFUNCTION("IMPORTRANGE(""https://docs.google.com/spreadsheets/d/1kVcqe37tkHyjCSG3S0O1AXqVkqjo8mSIZil3BcpIysc/edit?usp=sharing"",""ศูนย์!E75"")"),5)</f>
        <v>5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IFERROR(__xludf.DUMMYFUNCTION("IMPORTRANGE(""https://docs.google.com/spreadsheets/d/1kVcqe37tkHyjCSG3S0O1AXqVkqjo8mSIZil3BcpIysc/edit?usp=sharing"",""ศูนย์!F75"")"),53)</f>
        <v>53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IFERROR(__xludf.DUMMYFUNCTION("IMPORTRANGE(""https://docs.google.com/spreadsheets/d/1kVcqe37tkHyjCSG3S0O1AXqVkqjo8mSIZil3BcpIysc/edit?usp=sharing"",""ศูนย์!G75"")"),0)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IFERROR(__xludf.DUMMYFUNCTION("IMPORTRANGE(""https://docs.google.com/spreadsheets/d/1kVcqe37tkHyjCSG3S0O1AXqVkqjo8mSIZil3BcpIysc/edit?usp=sharing"",""ศูนย์!H75"")"),0)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833700</v>
      </c>
      <c r="M345" s="155">
        <f t="shared" ca="1" si="155"/>
        <v>868910</v>
      </c>
      <c r="N345" s="155">
        <f t="shared" ca="1" si="155"/>
        <v>652213.74</v>
      </c>
      <c r="O345" s="155">
        <f t="shared" ref="O345:O353" ca="1" si="156">IF(L345&gt;0,N345*100/L345,0)</f>
        <v>78.231227060093559</v>
      </c>
      <c r="P345" s="155">
        <f t="shared" ref="P345:P353" ca="1" si="157">IF(M345&gt;0,N345*100/M345,0)</f>
        <v>75.061138667986327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833700</v>
      </c>
      <c r="M347" s="93">
        <f t="shared" ca="1" si="158"/>
        <v>868910</v>
      </c>
      <c r="N347" s="93">
        <f t="shared" ca="1" si="158"/>
        <v>652213.74</v>
      </c>
      <c r="O347" s="93">
        <f t="shared" ca="1" si="156"/>
        <v>78.231227060093559</v>
      </c>
      <c r="P347" s="93">
        <f t="shared" ca="1" si="157"/>
        <v>75.061138667986327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735900</v>
      </c>
      <c r="M348" s="498">
        <f t="shared" ca="1" si="159"/>
        <v>775900</v>
      </c>
      <c r="N348" s="498">
        <f t="shared" ca="1" si="159"/>
        <v>559203.74</v>
      </c>
      <c r="O348" s="498">
        <f t="shared" ca="1" si="156"/>
        <v>75.989093626851471</v>
      </c>
      <c r="P348" s="498">
        <f t="shared" ca="1" si="157"/>
        <v>72.071625209434202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IFERROR(__xludf.DUMMYFUNCTION("IMPORTRANGE(""https://docs.google.com/spreadsheets/d/1MeEWN-I1oV_STSDYn1IFDPWt_1FKiwhDph83XaGc0o0/edit?usp=sharing"",""งบพรบ!EW75"")"),735900)</f>
        <v>735900</v>
      </c>
      <c r="M350" s="93">
        <f ca="1">IFERROR(__xludf.DUMMYFUNCTION("IMPORTRANGE(""https://docs.google.com/spreadsheets/d/1MeEWN-I1oV_STSDYn1IFDPWt_1FKiwhDph83XaGc0o0/edit?usp=sharing"",""งบพรบ!FB75"")"),775900)</f>
        <v>775900</v>
      </c>
      <c r="N350" s="93">
        <f ca="1">IFERROR(__xludf.DUMMYFUNCTION("IMPORTRANGE(""https://docs.google.com/spreadsheets/d/1MeEWN-I1oV_STSDYn1IFDPWt_1FKiwhDph83XaGc0o0/edit?usp=sharing"",""งบพรบ!FD75"")"),559203.74)</f>
        <v>559203.74</v>
      </c>
      <c r="O350" s="93">
        <f t="shared" ca="1" si="156"/>
        <v>75.989093626851471</v>
      </c>
      <c r="P350" s="93">
        <f t="shared" ca="1" si="157"/>
        <v>72.071625209434202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97800</v>
      </c>
      <c r="M351" s="498">
        <f t="shared" ca="1" si="160"/>
        <v>93010</v>
      </c>
      <c r="N351" s="498">
        <f t="shared" ca="1" si="160"/>
        <v>93010</v>
      </c>
      <c r="O351" s="498">
        <f t="shared" ca="1" si="156"/>
        <v>95.102249488752562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IFERROR(__xludf.DUMMYFUNCTION("IMPORTRANGE(""https://docs.google.com/spreadsheets/d/1MeEWN-I1oV_STSDYn1IFDPWt_1FKiwhDph83XaGc0o0/edit?usp=sharing"",""งบพรบ!EZ75"")"),97800)</f>
        <v>97800</v>
      </c>
      <c r="M353" s="93">
        <f ca="1">IFERROR(__xludf.DUMMYFUNCTION("IMPORTRANGE(""https://docs.google.com/spreadsheets/d/1MeEWN-I1oV_STSDYn1IFDPWt_1FKiwhDph83XaGc0o0/edit?usp=sharing"",""งบพรบ!FC75"")"),93010)</f>
        <v>93010</v>
      </c>
      <c r="N353" s="93">
        <f ca="1">IFERROR(__xludf.DUMMYFUNCTION("IMPORTRANGE(""https://docs.google.com/spreadsheets/d/1MeEWN-I1oV_STSDYn1IFDPWt_1FKiwhDph83XaGc0o0/edit?usp=sharing"",""งบพรบ!FE75"")"),93010)</f>
        <v>93010</v>
      </c>
      <c r="O353" s="93">
        <f t="shared" ca="1" si="156"/>
        <v>95.102249488752562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IFERROR(__xludf.DUMMYFUNCTION("IMPORTRANGE(""https://docs.google.com/spreadsheets/d/1QqKyyYR6Q21VydFLVH3TRQUabQu_ym0Zz7PgGX0-kHA/edit?usp=sharing"",""แผน!EP75"")"),210)</f>
        <v>210</v>
      </c>
      <c r="J355" s="465">
        <f ca="1">J362</f>
        <v>103</v>
      </c>
      <c r="K355" s="466">
        <f ca="1">IF(I355&gt;0,J355*100/I355,0)</f>
        <v>49.047619047619051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IFERROR(__xludf.DUMMYFUNCTION("IMPORTRANGE(""https://docs.google.com/spreadsheets/d/1XWAQStnk-4SwqDmLtmXYiTMKHgktTP8We1SCoS47DrQ/edit?usp=sharing"",""จัดที่ดิน!W75"")"),253)</f>
        <v>253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IFERROR(__xludf.DUMMYFUNCTION("IMPORTRANGE(""https://docs.google.com/spreadsheets/d/1QqKyyYR6Q21VydFLVH3TRQUabQu_ym0Zz7PgGX0-kHA/edit?usp=sharing"",""แผน!EO75"")"),2100)</f>
        <v>2100</v>
      </c>
      <c r="J359" s="270">
        <f ca="1">IFERROR(__xludf.DUMMYFUNCTION("IMPORTRANGE(""https://docs.google.com/spreadsheets/d/1XWAQStnk-4SwqDmLtmXYiTMKHgktTP8We1SCoS47DrQ/edit?usp=sharing"",""จัดที่ดิน!X75"")"),2724.89)</f>
        <v>2724.89</v>
      </c>
      <c r="K359" s="498">
        <f t="shared" ca="1" si="161"/>
        <v>129.75666666666666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IFERROR(__xludf.DUMMYFUNCTION("IMPORTRANGE(""https://docs.google.com/spreadsheets/d/1QqKyyYR6Q21VydFLVH3TRQUabQu_ym0Zz7PgGX0-kHA/edit?usp=sharing"",""แผน!EP75"")"),210)</f>
        <v>210</v>
      </c>
      <c r="J360" s="270">
        <f ca="1">IFERROR(__xludf.DUMMYFUNCTION("IMPORTRANGE(""https://docs.google.com/spreadsheets/d/1XWAQStnk-4SwqDmLtmXYiTMKHgktTP8We1SCoS47DrQ/edit?usp=sharing"",""จัดที่ดิน!Y75"")"),273)</f>
        <v>273</v>
      </c>
      <c r="K360" s="498">
        <f t="shared" ca="1" si="161"/>
        <v>130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IFERROR(__xludf.DUMMYFUNCTION("IMPORTRANGE(""https://docs.google.com/spreadsheets/d/1XWAQStnk-4SwqDmLtmXYiTMKHgktTP8We1SCoS47DrQ/edit?usp=sharing"",""จัดที่ดิน!Z75"")"),4674.6)</f>
        <v>4674.6000000000004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IFERROR(__xludf.DUMMYFUNCTION("IMPORTRANGE(""https://docs.google.com/spreadsheets/d/1QqKyyYR6Q21VydFLVH3TRQUabQu_ym0Zz7PgGX0-kHA/edit?usp=sharing"",""แผน!EP75"")"),210)</f>
        <v>210</v>
      </c>
      <c r="J362" s="270">
        <f ca="1">IFERROR(__xludf.DUMMYFUNCTION("IMPORTRANGE(""https://docs.google.com/spreadsheets/d/1XWAQStnk-4SwqDmLtmXYiTMKHgktTP8We1SCoS47DrQ/edit?usp=sharing"",""จัดที่ดิน!AA75"")"),103)</f>
        <v>103</v>
      </c>
      <c r="K362" s="498">
        <f t="shared" ca="1" si="161"/>
        <v>49.047619047619051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IFERROR(__xludf.DUMMYFUNCTION("IMPORTRANGE(""https://docs.google.com/spreadsheets/d/1XWAQStnk-4SwqDmLtmXYiTMKHgktTP8We1SCoS47DrQ/edit?usp=sharing"",""จัดที่ดิน!AB75"")"),1157.67999999999)</f>
        <v>1157.6799999999901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270</v>
      </c>
      <c r="J364" s="479">
        <f t="shared" ca="1" si="162"/>
        <v>338</v>
      </c>
      <c r="K364" s="480">
        <f t="shared" ca="1" si="161"/>
        <v>125.18518518518519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IFERROR(__xludf.DUMMYFUNCTION("IMPORTRANGE(""https://docs.google.com/spreadsheets/d/1QqKyyYR6Q21VydFLVH3TRQUabQu_ym0Zz7PgGX0-kHA/edit?usp=sharing"",""แผน!EJ75"")"),130)</f>
        <v>130</v>
      </c>
      <c r="J365" s="491">
        <f ca="1">J372</f>
        <v>45</v>
      </c>
      <c r="K365" s="492">
        <f t="shared" ca="1" si="161"/>
        <v>34.615384615384613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IFERROR(__xludf.DUMMYFUNCTION("IMPORTRANGE(""https://docs.google.com/spreadsheets/d/1XWAQStnk-4SwqDmLtmXYiTMKHgktTP8We1SCoS47DrQ/edit?usp=sharing"",""จัดที่ดิน!E75"")"),131)</f>
        <v>131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IFERROR(__xludf.DUMMYFUNCTION("IMPORTRANGE(""https://docs.google.com/spreadsheets/d/1QqKyyYR6Q21VydFLVH3TRQUabQu_ym0Zz7PgGX0-kHA/edit?usp=sharing"",""แผน!EI75"")"),1300)</f>
        <v>1300</v>
      </c>
      <c r="J369" s="270">
        <f ca="1">IFERROR(__xludf.DUMMYFUNCTION("IMPORTRANGE(""https://docs.google.com/spreadsheets/d/1XWAQStnk-4SwqDmLtmXYiTMKHgktTP8We1SCoS47DrQ/edit?usp=sharing"",""จัดที่ดิน!F75"")"),1530.06)</f>
        <v>1530.06</v>
      </c>
      <c r="K369" s="498">
        <f t="shared" ca="1" si="163"/>
        <v>117.69692307692307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IFERROR(__xludf.DUMMYFUNCTION("IMPORTRANGE(""https://docs.google.com/spreadsheets/d/1QqKyyYR6Q21VydFLVH3TRQUabQu_ym0Zz7PgGX0-kHA/edit?usp=sharing"",""แผน!EJ75"")"),130)</f>
        <v>130</v>
      </c>
      <c r="J370" s="270">
        <f ca="1">IFERROR(__xludf.DUMMYFUNCTION("IMPORTRANGE(""https://docs.google.com/spreadsheets/d/1XWAQStnk-4SwqDmLtmXYiTMKHgktTP8We1SCoS47DrQ/edit?usp=sharing"",""จัดที่ดิน!G75"")"),163)</f>
        <v>163</v>
      </c>
      <c r="K370" s="498">
        <f t="shared" ca="1" si="163"/>
        <v>125.38461538461539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IFERROR(__xludf.DUMMYFUNCTION("IMPORTRANGE(""https://docs.google.com/spreadsheets/d/1XWAQStnk-4SwqDmLtmXYiTMKHgktTP8We1SCoS47DrQ/edit?usp=sharing"",""จัดที่ดิน!H75"")"),3550.03)</f>
        <v>3550.03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IFERROR(__xludf.DUMMYFUNCTION("IMPORTRANGE(""https://docs.google.com/spreadsheets/d/1QqKyyYR6Q21VydFLVH3TRQUabQu_ym0Zz7PgGX0-kHA/edit?usp=sharing"",""แผน!EJ75"")"),130)</f>
        <v>130</v>
      </c>
      <c r="J372" s="270">
        <f ca="1">IFERROR(__xludf.DUMMYFUNCTION("IMPORTRANGE(""https://docs.google.com/spreadsheets/d/1XWAQStnk-4SwqDmLtmXYiTMKHgktTP8We1SCoS47DrQ/edit?usp=sharing"",""จัดที่ดิน!I75"")"),45)</f>
        <v>45</v>
      </c>
      <c r="K372" s="498">
        <f t="shared" ca="1" si="163"/>
        <v>34.615384615384613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IFERROR(__xludf.DUMMYFUNCTION("IMPORTRANGE(""https://docs.google.com/spreadsheets/d/1XWAQStnk-4SwqDmLtmXYiTMKHgktTP8We1SCoS47DrQ/edit?usp=sharing"",""จัดที่ดิน!J75"")"),565.93)</f>
        <v>565.92999999999995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IFERROR(__xludf.DUMMYFUNCTION("IMPORTRANGE(""https://docs.google.com/spreadsheets/d/1QqKyyYR6Q21VydFLVH3TRQUabQu_ym0Zz7PgGX0-kHA/edit?usp=sharing"",""แผน!EU75"")"),140)</f>
        <v>140</v>
      </c>
      <c r="J374" s="491">
        <f ca="1">J381</f>
        <v>293</v>
      </c>
      <c r="K374" s="492">
        <f t="shared" ca="1" si="163"/>
        <v>209.28571428571428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IFERROR(__xludf.DUMMYFUNCTION("IMPORTRANGE(""https://docs.google.com/spreadsheets/d/1XWAQStnk-4SwqDmLtmXYiTMKHgktTP8We1SCoS47DrQ/edit?usp=sharing"",""จัดที่ดิน!AH75"")"),122)</f>
        <v>122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IFERROR(__xludf.DUMMYFUNCTION("IMPORTRANGE(""https://docs.google.com/spreadsheets/d/1QqKyyYR6Q21VydFLVH3TRQUabQu_ym0Zz7PgGX0-kHA/edit?usp=sharing"",""แผน!ET75"")"),800)</f>
        <v>800</v>
      </c>
      <c r="J378" s="270">
        <f ca="1">IFERROR(__xludf.DUMMYFUNCTION("IMPORTRANGE(""https://docs.google.com/spreadsheets/d/1XWAQStnk-4SwqDmLtmXYiTMKHgktTP8We1SCoS47DrQ/edit?usp=sharing"",""จัดที่ดิน!AI75"")"),1194.83)</f>
        <v>1194.83</v>
      </c>
      <c r="K378" s="498">
        <f t="shared" ca="1" si="164"/>
        <v>149.35374999999999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IFERROR(__xludf.DUMMYFUNCTION("IMPORTRANGE(""https://docs.google.com/spreadsheets/d/1QqKyyYR6Q21VydFLVH3TRQUabQu_ym0Zz7PgGX0-kHA/edit?usp=sharing"",""แผน!EU75"")"),140)</f>
        <v>140</v>
      </c>
      <c r="J379" s="270">
        <f ca="1">IFERROR(__xludf.DUMMYFUNCTION("IMPORTRANGE(""https://docs.google.com/spreadsheets/d/1XWAQStnk-4SwqDmLtmXYiTMKHgktTP8We1SCoS47DrQ/edit?usp=sharing"",""จัดที่ดิน!AJ75"")"),345)</f>
        <v>345</v>
      </c>
      <c r="K379" s="498">
        <f t="shared" ca="1" si="164"/>
        <v>246.42857142857142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IFERROR(__xludf.DUMMYFUNCTION("IMPORTRANGE(""https://docs.google.com/spreadsheets/d/1XWAQStnk-4SwqDmLtmXYiTMKHgktTP8We1SCoS47DrQ/edit?usp=sharing"",""จัดที่ดิน!AK75"")"),4893.35)</f>
        <v>4893.3500000000004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IFERROR(__xludf.DUMMYFUNCTION("IMPORTRANGE(""https://docs.google.com/spreadsheets/d/1QqKyyYR6Q21VydFLVH3TRQUabQu_ym0Zz7PgGX0-kHA/edit?usp=sharing"",""แผน!EU75"")"),140)</f>
        <v>140</v>
      </c>
      <c r="J381" s="270">
        <f ca="1">IFERROR(__xludf.DUMMYFUNCTION("IMPORTRANGE(""https://docs.google.com/spreadsheets/d/1XWAQStnk-4SwqDmLtmXYiTMKHgktTP8We1SCoS47DrQ/edit?usp=sharing"",""จัดที่ดิน!AL75"")"),293)</f>
        <v>293</v>
      </c>
      <c r="K381" s="498">
        <f t="shared" ca="1" si="164"/>
        <v>209.28571428571428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IFERROR(__xludf.DUMMYFUNCTION("IMPORTRANGE(""https://docs.google.com/spreadsheets/d/1XWAQStnk-4SwqDmLtmXYiTMKHgktTP8We1SCoS47DrQ/edit?usp=sharing"",""จัดที่ดิน!AM75"")"),4360.53)</f>
        <v>4360.53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IFERROR(__xludf.DUMMYFUNCTION("IMPORTRANGE(""https://docs.google.com/spreadsheets/d/1QqKyyYR6Q21VydFLVH3TRQUabQu_ym0Zz7PgGX0-kHA/edit?usp=sharing"",""แผน!EW75"")"),20)</f>
        <v>20</v>
      </c>
      <c r="J385" s="505">
        <f ca="1">IFERROR(__xludf.DUMMYFUNCTION("IMPORTRANGE(""https://docs.google.com/spreadsheets/d/1XWAQStnk-4SwqDmLtmXYiTMKHgktTP8We1SCoS47DrQ/edit?usp=sharing"",""จัดที่ดิน!AP75"")"),5)</f>
        <v>5</v>
      </c>
      <c r="K385" s="506">
        <f ca="1">IF(I385&gt;0,J385*100/I385,0)</f>
        <v>25</v>
      </c>
      <c r="L385" s="385"/>
      <c r="M385" s="385"/>
      <c r="N385" s="385"/>
      <c r="O385" s="385"/>
      <c r="P385" s="385"/>
    </row>
    <row r="386" spans="1:26" ht="19.5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26000000</v>
      </c>
      <c r="M389" s="155">
        <f t="shared" ca="1" si="166"/>
        <v>26000000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4" hidden="1" customHeight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26000000</v>
      </c>
      <c r="M391" s="93">
        <f t="shared" ca="1" si="169"/>
        <v>26000000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IFERROR(__xludf.DUMMYFUNCTION("IMPORTRANGE(""https://docs.google.com/spreadsheets/d/1MeEWN-I1oV_STSDYn1IFDPWt_1FKiwhDph83XaGc0o0/edit?usp=sharing"",""งบพรบ!FG75"")"),0)</f>
        <v>0</v>
      </c>
      <c r="M394" s="93">
        <f ca="1">IFERROR(__xludf.DUMMYFUNCTION("IMPORTRANGE(""https://docs.google.com/spreadsheets/d/1MeEWN-I1oV_STSDYn1IFDPWt_1FKiwhDph83XaGc0o0/edit?usp=sharing"",""งบพรบ!FL75"")"),0)</f>
        <v>0</v>
      </c>
      <c r="N394" s="93">
        <f ca="1">IFERROR(__xludf.DUMMYFUNCTION("IMPORTRANGE(""https://docs.google.com/spreadsheets/d/1MeEWN-I1oV_STSDYn1IFDPWt_1FKiwhDph83XaGc0o0/edit?usp=sharing"",""งบพรบ!FN75"")"),0)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26000000</v>
      </c>
      <c r="M395" s="498">
        <f t="shared" ca="1" si="171"/>
        <v>26000000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IFERROR(__xludf.DUMMYFUNCTION("IMPORTRANGE(""https://docs.google.com/spreadsheets/d/1MeEWN-I1oV_STSDYn1IFDPWt_1FKiwhDph83XaGc0o0/edit?usp=sharing"",""งบพรบ!FJ75"")"),26000000)</f>
        <v>26000000</v>
      </c>
      <c r="M397" s="93">
        <f ca="1">IFERROR(__xludf.DUMMYFUNCTION("IMPORTRANGE(""https://docs.google.com/spreadsheets/d/1MeEWN-I1oV_STSDYn1IFDPWt_1FKiwhDph83XaGc0o0/edit?usp=sharing"",""งบพรบ!FM75"")"),26000000)</f>
        <v>26000000</v>
      </c>
      <c r="N397" s="93">
        <f ca="1">IFERROR(__xludf.DUMMYFUNCTION("IMPORTRANGE(""https://docs.google.com/spreadsheets/d/1MeEWN-I1oV_STSDYn1IFDPWt_1FKiwhDph83XaGc0o0/edit?usp=sharing"",""งบพรบ!FO75"")"),0)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15</v>
      </c>
      <c r="J401" s="526">
        <f t="shared" si="173"/>
        <v>13</v>
      </c>
      <c r="K401" s="527">
        <f t="shared" si="172"/>
        <v>86.666666666666671</v>
      </c>
      <c r="L401" s="528"/>
      <c r="M401" s="528"/>
      <c r="N401" s="528"/>
      <c r="O401" s="528"/>
      <c r="P401" s="528"/>
    </row>
    <row r="402" spans="1:26" ht="19.5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34000000</v>
      </c>
      <c r="M402" s="155">
        <f t="shared" ca="1" si="174"/>
        <v>34000000</v>
      </c>
      <c r="N402" s="155">
        <f t="shared" ca="1" si="174"/>
        <v>26478744</v>
      </c>
      <c r="O402" s="155">
        <f t="shared" ref="O402:O410" ca="1" si="175">IF(L402&gt;0,N402*100/L402,0)</f>
        <v>77.878658823529406</v>
      </c>
      <c r="P402" s="155">
        <f t="shared" ref="P402:P410" ca="1" si="176">IF(M402&gt;0,N402*100/M402,0)</f>
        <v>77.878658823529406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34000000</v>
      </c>
      <c r="M404" s="93">
        <f t="shared" ca="1" si="177"/>
        <v>34000000</v>
      </c>
      <c r="N404" s="93">
        <f t="shared" ca="1" si="177"/>
        <v>26478744</v>
      </c>
      <c r="O404" s="93">
        <f t="shared" ca="1" si="175"/>
        <v>77.878658823529406</v>
      </c>
      <c r="P404" s="93">
        <f t="shared" ca="1" si="176"/>
        <v>77.878658823529406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IFERROR(__xludf.DUMMYFUNCTION("IMPORTRANGE(""https://docs.google.com/spreadsheets/d/1MeEWN-I1oV_STSDYn1IFDPWt_1FKiwhDph83XaGc0o0/edit?usp=sharing"",""งบพรบ!FQ75"")"),0)</f>
        <v>0</v>
      </c>
      <c r="M407" s="93">
        <f ca="1">IFERROR(__xludf.DUMMYFUNCTION("IMPORTRANGE(""https://docs.google.com/spreadsheets/d/1MeEWN-I1oV_STSDYn1IFDPWt_1FKiwhDph83XaGc0o0/edit?usp=sharing"",""งบพรบ!FV75"")"),0)</f>
        <v>0</v>
      </c>
      <c r="N407" s="93">
        <f ca="1">IFERROR(__xludf.DUMMYFUNCTION("IMPORTRANGE(""https://docs.google.com/spreadsheets/d/1MeEWN-I1oV_STSDYn1IFDPWt_1FKiwhDph83XaGc0o0/edit?usp=sharing"",""งบพรบ!FX75"")"),0)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34000000</v>
      </c>
      <c r="M408" s="498">
        <f t="shared" ca="1" si="179"/>
        <v>34000000</v>
      </c>
      <c r="N408" s="498">
        <f t="shared" ca="1" si="179"/>
        <v>26478744</v>
      </c>
      <c r="O408" s="498">
        <f t="shared" ca="1" si="175"/>
        <v>77.878658823529406</v>
      </c>
      <c r="P408" s="498">
        <f t="shared" ca="1" si="176"/>
        <v>77.878658823529406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IFERROR(__xludf.DUMMYFUNCTION("IMPORTRANGE(""https://docs.google.com/spreadsheets/d/1MeEWN-I1oV_STSDYn1IFDPWt_1FKiwhDph83XaGc0o0/edit?usp=sharing"",""งบพรบ!FT75"")"),34000000)</f>
        <v>34000000</v>
      </c>
      <c r="M410" s="93">
        <f ca="1">IFERROR(__xludf.DUMMYFUNCTION("IMPORTRANGE(""https://docs.google.com/spreadsheets/d/1MeEWN-I1oV_STSDYn1IFDPWt_1FKiwhDph83XaGc0o0/edit?usp=sharing"",""งบพรบ!FW75"")"),34000000)</f>
        <v>34000000</v>
      </c>
      <c r="N410" s="93">
        <f ca="1">IFERROR(__xludf.DUMMYFUNCTION("IMPORTRANGE(""https://docs.google.com/spreadsheets/d/1MeEWN-I1oV_STSDYn1IFDPWt_1FKiwhDph83XaGc0o0/edit?usp=sharing"",""งบพรบ!FY75"")"),26478744)</f>
        <v>26478744</v>
      </c>
      <c r="O410" s="93">
        <f t="shared" ca="1" si="175"/>
        <v>77.878658823529406</v>
      </c>
      <c r="P410" s="93">
        <f t="shared" ca="1" si="176"/>
        <v>77.878658823529406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15</v>
      </c>
      <c r="J412" s="215">
        <v>13</v>
      </c>
      <c r="K412" s="498">
        <f t="shared" ref="K412:K413" si="180">IF(I412&gt;0,J412*100/I412,0)</f>
        <v>86.666666666666671</v>
      </c>
      <c r="L412" s="163"/>
      <c r="M412" s="163"/>
      <c r="N412" s="163"/>
      <c r="O412" s="163"/>
      <c r="P412" s="163"/>
    </row>
    <row r="413" spans="1:26" ht="19.5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795800</v>
      </c>
      <c r="J413" s="544">
        <v>660431</v>
      </c>
      <c r="K413" s="545">
        <f t="shared" si="180"/>
        <v>82.989570243779838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1733577</v>
      </c>
      <c r="M414" s="553">
        <f t="shared" ca="1" si="181"/>
        <v>1733577</v>
      </c>
      <c r="N414" s="553">
        <f t="shared" si="181"/>
        <v>512855.34</v>
      </c>
      <c r="O414" s="553">
        <f ca="1">IF(L414&gt;0,N414*100/L414,0)</f>
        <v>29.583649298531302</v>
      </c>
      <c r="P414" s="553">
        <f ca="1">IF(M414&gt;0,N414*100/M414,0)</f>
        <v>29.583649298531302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65518</v>
      </c>
      <c r="O419" s="155">
        <f t="shared" ref="O419:O424" ca="1" si="185">IF(L419&gt;0,N419*100/L419,0)</f>
        <v>98.434495192307693</v>
      </c>
      <c r="P419" s="155">
        <f t="shared" ref="P419:P424" ca="1" si="186">IF(M419&gt;0,N419*100/M419,0)</f>
        <v>98.434495192307693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65518</v>
      </c>
      <c r="O421" s="93">
        <f t="shared" ca="1" si="185"/>
        <v>98.434495192307693</v>
      </c>
      <c r="P421" s="93">
        <f t="shared" ca="1" si="186"/>
        <v>98.434495192307693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65518</v>
      </c>
      <c r="O422" s="498">
        <f t="shared" ca="1" si="185"/>
        <v>98.434495192307693</v>
      </c>
      <c r="P422" s="498">
        <f t="shared" ca="1" si="186"/>
        <v>98.434495192307693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IFERROR(__xludf.DUMMYFUNCTION("IMPORTRANGE(""https://docs.google.com/spreadsheets/d/1QqKyyYR6Q21VydFLVH3TRQUabQu_ym0Zz7PgGX0-kHA/edit?usp=sharing"",""แผน!EY75"")"),66560)</f>
        <v>66560</v>
      </c>
      <c r="M424" s="93">
        <f ca="1">L424</f>
        <v>66560</v>
      </c>
      <c r="N424" s="93">
        <f>N425+N426+N427+N428</f>
        <v>65518</v>
      </c>
      <c r="O424" s="93">
        <f t="shared" ca="1" si="185"/>
        <v>98.434495192307693</v>
      </c>
      <c r="P424" s="93">
        <f t="shared" ca="1" si="186"/>
        <v>98.434495192307693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42295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23223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IFERROR(__xludf.DUMMYFUNCTION("IMPORTRANGE(""https://docs.google.com/spreadsheets/d/1QqKyyYR6Q21VydFLVH3TRQUabQu_ym0Zz7PgGX0-kHA/edit?usp=sharing"",""แผน!FC75"")"),15)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IFERROR(__xludf.DUMMYFUNCTION("IMPORTRANGE(""https://docs.google.com/spreadsheets/d/1QqKyyYR6Q21VydFLVH3TRQUabQu_ym0Zz7PgGX0-kHA/edit?usp=sharing"",""แผน!FD75"")"),0)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IFERROR(__xludf.DUMMYFUNCTION("IMPORTRANGE(""https://docs.google.com/spreadsheets/d/1QqKyyYR6Q21VydFLVH3TRQUabQu_ym0Zz7PgGX0-kHA/edit?usp=sharing"",""แผน!FE75"")"),0)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IFERROR(__xludf.DUMMYFUNCTION("IMPORTRANGE(""https://docs.google.com/spreadsheets/d/1QqKyyYR6Q21VydFLVH3TRQUabQu_ym0Zz7PgGX0-kHA/edit?usp=sharing"",""แผน!FF75"")"),15)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IFERROR(__xludf.DUMMYFUNCTION("IMPORTRANGE(""https://docs.google.com/spreadsheets/d/1QqKyyYR6Q21VydFLVH3TRQUabQu_ym0Zz7PgGX0-kHA/edit?usp=sharing"",""แผน!FG75"")"),1)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IFERROR(__xludf.DUMMYFUNCTION("IMPORTRANGE(""https://docs.google.com/spreadsheets/d/1QqKyyYR6Q21VydFLVH3TRQUabQu_ym0Zz7PgGX0-kHA/edit?usp=sharing"",""แผน!FH75"")"),0)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IFERROR(__xludf.DUMMYFUNCTION("IMPORTRANGE(""https://docs.google.com/spreadsheets/d/1QqKyyYR6Q21VydFLVH3TRQUabQu_ym0Zz7PgGX0-kHA/edit?usp=sharing"",""แผน!FJ75"")"),0)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IFERROR(__xludf.DUMMYFUNCTION("IMPORTRANGE(""https://docs.google.com/spreadsheets/d/1QqKyyYR6Q21VydFLVH3TRQUabQu_ym0Zz7PgGX0-kHA/edit?usp=sharing"",""แผน!FN75"")"),0)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IFERROR(__xludf.DUMMYFUNCTION("IMPORTRANGE(""https://docs.google.com/spreadsheets/d/1QqKyyYR6Q21VydFLVH3TRQUabQu_ym0Zz7PgGX0-kHA/edit?usp=sharing"",""แผน!FO75"")"),0)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IFERROR(__xludf.DUMMYFUNCTION("IMPORTRANGE(""https://docs.google.com/spreadsheets/d/1QqKyyYR6Q21VydFLVH3TRQUabQu_ym0Zz7PgGX0-kHA/edit?usp=sharing"",""แผน!FO75"")"),0)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IFERROR(__xludf.DUMMYFUNCTION("IMPORTRANGE(""https://docs.google.com/spreadsheets/d/1QqKyyYR6Q21VydFLVH3TRQUabQu_ym0Zz7PgGX0-kHA/edit?usp=sharing"",""แผน!FN75"")"),0)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IFERROR(__xludf.DUMMYFUNCTION("IMPORTRANGE(""https://docs.google.com/spreadsheets/d/1QqKyyYR6Q21VydFLVH3TRQUabQu_ym0Zz7PgGX0-kHA/edit?usp=sharing"",""แผน!FX75"")"),31)</f>
        <v>31</v>
      </c>
      <c r="J465" s="589">
        <f>J485+J489+J492</f>
        <v>31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IFERROR(__xludf.DUMMYFUNCTION("IMPORTRANGE(""https://docs.google.com/spreadsheets/d/1QqKyyYR6Q21VydFLVH3TRQUabQu_ym0Zz7PgGX0-kHA/edit?usp=sharing"",""แผน!FW75"")"),300)</f>
        <v>300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263283</v>
      </c>
      <c r="M467" s="195">
        <f t="shared" ca="1" si="206"/>
        <v>263283</v>
      </c>
      <c r="N467" s="195">
        <f t="shared" si="206"/>
        <v>57997</v>
      </c>
      <c r="O467" s="195">
        <f t="shared" ref="O467:O472" ca="1" si="207">IF(L467&gt;0,N467*100/L467,0)</f>
        <v>22.028387704485286</v>
      </c>
      <c r="P467" s="195">
        <f t="shared" ref="P467:P472" ca="1" si="208">IF(M467&gt;0,N467*100/M467,0)</f>
        <v>22.028387704485286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263283</v>
      </c>
      <c r="M469" s="93">
        <f t="shared" ca="1" si="209"/>
        <v>263283</v>
      </c>
      <c r="N469" s="93">
        <f t="shared" si="209"/>
        <v>57997</v>
      </c>
      <c r="O469" s="93">
        <f t="shared" ca="1" si="207"/>
        <v>22.028387704485286</v>
      </c>
      <c r="P469" s="93">
        <f t="shared" ca="1" si="208"/>
        <v>22.028387704485286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263283</v>
      </c>
      <c r="M470" s="498">
        <f t="shared" ca="1" si="210"/>
        <v>263283</v>
      </c>
      <c r="N470" s="498">
        <f t="shared" si="210"/>
        <v>57997</v>
      </c>
      <c r="O470" s="498">
        <f t="shared" ca="1" si="207"/>
        <v>22.028387704485286</v>
      </c>
      <c r="P470" s="498">
        <f t="shared" ca="1" si="208"/>
        <v>22.028387704485286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IFERROR(__xludf.DUMMYFUNCTION("IMPORTRANGE(""https://docs.google.com/spreadsheets/d/1QqKyyYR6Q21VydFLVH3TRQUabQu_ym0Zz7PgGX0-kHA/edit?usp=sharing"",""แผน!FS75"")"),263283)</f>
        <v>263283</v>
      </c>
      <c r="M472" s="93">
        <f ca="1">L472</f>
        <v>263283</v>
      </c>
      <c r="N472" s="93">
        <f>N473+N474+N475+N476</f>
        <v>57997</v>
      </c>
      <c r="O472" s="93">
        <f t="shared" ca="1" si="207"/>
        <v>22.028387704485286</v>
      </c>
      <c r="P472" s="93">
        <f t="shared" ca="1" si="208"/>
        <v>22.028387704485286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37652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20345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IFERROR(__xludf.DUMMYFUNCTION("IMPORTRANGE(""https://docs.google.com/spreadsheets/d/1QqKyyYR6Q21VydFLVH3TRQUabQu_ym0Zz7PgGX0-kHA/edit?usp=sharing"",""แผน!FY75"")"),270)</f>
        <v>270</v>
      </c>
      <c r="J483" s="215">
        <v>270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34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IFERROR(__xludf.DUMMYFUNCTION("IMPORTRANGE(""https://docs.google.com/spreadsheets/d/1QqKyyYR6Q21VydFLVH3TRQUabQu_ym0Zz7PgGX0-kHA/edit?usp=sharing"",""แผน!FZ75"")"),27)</f>
        <v>27</v>
      </c>
      <c r="J485" s="215">
        <v>27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IFERROR(__xludf.DUMMYFUNCTION("IMPORTRANGE(""https://docs.google.com/spreadsheets/d/1QqKyyYR6Q21VydFLVH3TRQUabQu_ym0Zz7PgGX0-kHA/edit?usp=sharing"",""แผน!GA75"")"),30)</f>
        <v>30</v>
      </c>
      <c r="J487" s="215">
        <v>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3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IFERROR(__xludf.DUMMYFUNCTION("IMPORTRANGE(""https://docs.google.com/spreadsheets/d/1QqKyyYR6Q21VydFLVH3TRQUabQu_ym0Zz7PgGX0-kHA/edit?usp=sharing"",""แผน!GB75"")"),3)</f>
        <v>3</v>
      </c>
      <c r="J489" s="215">
        <v>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IFERROR(__xludf.DUMMYFUNCTION("IMPORTRANGE(""https://docs.google.com/spreadsheets/d/1QqKyyYR6Q21VydFLVH3TRQUabQu_ym0Zz7PgGX0-kHA/edit?usp=sharing"",""แผน!GC75"")"),1)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IFERROR(__xludf.DUMMYFUNCTION("IMPORTRANGE(""https://docs.google.com/spreadsheets/d/1QqKyyYR6Q21VydFLVH3TRQUabQu_ym0Zz7PgGX0-kHA/edit?usp=sharing"",""แผน!FY75"")"),270)</f>
        <v>270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IFERROR(__xludf.DUMMYFUNCTION("IMPORTRANGE(""https://docs.google.com/spreadsheets/d/1QqKyyYR6Q21VydFLVH3TRQUabQu_ym0Zz7PgGX0-kHA/edit?usp=sharing"",""แผน!GA75"")"),30)</f>
        <v>30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80</v>
      </c>
      <c r="J522" s="707">
        <f t="shared" ca="1" si="225"/>
        <v>80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667960</v>
      </c>
      <c r="M523" s="195">
        <f t="shared" ca="1" si="226"/>
        <v>667960</v>
      </c>
      <c r="N523" s="195">
        <f t="shared" si="226"/>
        <v>130420</v>
      </c>
      <c r="O523" s="195">
        <f t="shared" ref="O523:O528" ca="1" si="227">IF(L523&gt;0,N523*100/L523,0)</f>
        <v>19.525121264746392</v>
      </c>
      <c r="P523" s="195">
        <f t="shared" ref="P523:P528" ca="1" si="228">IF(M523&gt;0,N523*100/M523,0)</f>
        <v>19.525121264746392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667960</v>
      </c>
      <c r="M525" s="93">
        <f t="shared" ca="1" si="229"/>
        <v>667960</v>
      </c>
      <c r="N525" s="93">
        <f t="shared" si="229"/>
        <v>130420</v>
      </c>
      <c r="O525" s="93">
        <f t="shared" ca="1" si="227"/>
        <v>19.525121264746392</v>
      </c>
      <c r="P525" s="93">
        <f t="shared" ca="1" si="228"/>
        <v>19.525121264746392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667960</v>
      </c>
      <c r="M526" s="498">
        <f t="shared" ca="1" si="230"/>
        <v>667960</v>
      </c>
      <c r="N526" s="498">
        <f t="shared" si="230"/>
        <v>130420</v>
      </c>
      <c r="O526" s="498">
        <f t="shared" ca="1" si="227"/>
        <v>19.525121264746392</v>
      </c>
      <c r="P526" s="498">
        <f t="shared" ca="1" si="228"/>
        <v>19.525121264746392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IFERROR(__xludf.DUMMYFUNCTION("IMPORTRANGE(""https://docs.google.com/spreadsheets/d/1QqKyyYR6Q21VydFLVH3TRQUabQu_ym0Zz7PgGX0-kHA/edit?usp=sharing"",""แผน!GQ75"")"),667960)</f>
        <v>667960</v>
      </c>
      <c r="M528" s="93">
        <f ca="1">L528</f>
        <v>667960</v>
      </c>
      <c r="N528" s="93">
        <f>N529+N530+N531+N532</f>
        <v>130420</v>
      </c>
      <c r="O528" s="93">
        <f t="shared" ca="1" si="227"/>
        <v>19.525121264746392</v>
      </c>
      <c r="P528" s="93">
        <f t="shared" ca="1" si="228"/>
        <v>19.525121264746392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102060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28360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IFERROR(__xludf.DUMMYFUNCTION("IMPORTRANGE(""https://docs.google.com/spreadsheets/d/1QqKyyYR6Q21VydFLVH3TRQUabQu_ym0Zz7PgGX0-kHA/edit?usp=sharing"",""แผน!GU75"")"),80)</f>
        <v>80</v>
      </c>
      <c r="J537" s="680">
        <f ca="1">IF(AND(J538=I538,J539=I539,J540=I540,J541=I541),I537,0)</f>
        <v>80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IFERROR(__xludf.DUMMYFUNCTION("IMPORTRANGE(""https://docs.google.com/spreadsheets/d/1QqKyyYR6Q21VydFLVH3TRQUabQu_ym0Zz7PgGX0-kHA/edit?usp=sharing"",""แผน!GV75"")"),80)</f>
        <v>80</v>
      </c>
      <c r="J538" s="215">
        <v>80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IFERROR(__xludf.DUMMYFUNCTION("IMPORTRANGE(""https://docs.google.com/spreadsheets/d/1QqKyyYR6Q21VydFLVH3TRQUabQu_ym0Zz7PgGX0-kHA/edit?usp=sharing"",""แผน!GW75"")"),80)</f>
        <v>80</v>
      </c>
      <c r="J539" s="215">
        <v>80</v>
      </c>
      <c r="K539" s="498">
        <f t="shared" ca="1" si="234"/>
        <v>100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IFERROR(__xludf.DUMMYFUNCTION("IMPORTRANGE(""https://docs.google.com/spreadsheets/d/1QqKyyYR6Q21VydFLVH3TRQUabQu_ym0Zz7PgGX0-kHA/edit?usp=sharing"",""แผน!GX75"")"),80)</f>
        <v>80</v>
      </c>
      <c r="J540" s="215">
        <v>80</v>
      </c>
      <c r="K540" s="498">
        <f t="shared" ca="1" si="234"/>
        <v>100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IFERROR(__xludf.DUMMYFUNCTION("IMPORTRANGE(""https://docs.google.com/spreadsheets/d/1QqKyyYR6Q21VydFLVH3TRQUabQu_ym0Zz7PgGX0-kHA/edit?usp=sharing"",""แผน!GY75"")"),0)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IFERROR(__xludf.DUMMYFUNCTION("IMPORTRANGE(""https://docs.google.com/spreadsheets/d/1QqKyyYR6Q21VydFLVH3TRQUabQu_ym0Zz7PgGX0-kHA/edit?usp=sharing"",""แผน!GZ75"")"),80)</f>
        <v>80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60297</v>
      </c>
      <c r="J543" s="686">
        <f t="shared" si="235"/>
        <v>54686</v>
      </c>
      <c r="K543" s="687">
        <f t="shared" ca="1" si="234"/>
        <v>90.694396072773102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482874</v>
      </c>
      <c r="M544" s="155">
        <f t="shared" ca="1" si="236"/>
        <v>482874</v>
      </c>
      <c r="N544" s="155">
        <f t="shared" si="236"/>
        <v>258920.34000000003</v>
      </c>
      <c r="O544" s="155">
        <f t="shared" ref="O544:O549" ca="1" si="237">IF(L544&gt;0,N544*100/L544,0)</f>
        <v>53.620683656606076</v>
      </c>
      <c r="P544" s="155">
        <f t="shared" ref="P544:P549" ca="1" si="238">IF(M544&gt;0,N544*100/M544,0)</f>
        <v>53.620683656606076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482874</v>
      </c>
      <c r="M546" s="93">
        <f t="shared" ca="1" si="240"/>
        <v>482874</v>
      </c>
      <c r="N546" s="93">
        <f t="shared" si="240"/>
        <v>258920.34000000003</v>
      </c>
      <c r="O546" s="93">
        <f t="shared" ca="1" si="237"/>
        <v>53.620683656606076</v>
      </c>
      <c r="P546" s="93">
        <f t="shared" ca="1" si="238"/>
        <v>53.620683656606076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482874</v>
      </c>
      <c r="M547" s="498">
        <f t="shared" ca="1" si="241"/>
        <v>482874</v>
      </c>
      <c r="N547" s="498">
        <f t="shared" si="241"/>
        <v>258920.34000000003</v>
      </c>
      <c r="O547" s="498">
        <f t="shared" ca="1" si="237"/>
        <v>53.620683656606076</v>
      </c>
      <c r="P547" s="498">
        <f t="shared" ca="1" si="238"/>
        <v>53.620683656606076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IFERROR(__xludf.DUMMYFUNCTION("IMPORTRANGE(""https://docs.google.com/spreadsheets/d/1QqKyyYR6Q21VydFLVH3TRQUabQu_ym0Zz7PgGX0-kHA/edit?usp=sharing"",""แผน!HB75"")"),482874)</f>
        <v>482874</v>
      </c>
      <c r="M549" s="93">
        <f ca="1">L549</f>
        <v>482874</v>
      </c>
      <c r="N549" s="93">
        <f>N550+N551+N552+N553+N554</f>
        <v>258920.34000000003</v>
      </c>
      <c r="O549" s="93">
        <f t="shared" ca="1" si="237"/>
        <v>53.620683656606076</v>
      </c>
      <c r="P549" s="93">
        <f t="shared" ca="1" si="238"/>
        <v>53.620683656606076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51566.67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207353.67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60297</v>
      </c>
      <c r="J559" s="707">
        <f t="shared" si="245"/>
        <v>54686</v>
      </c>
      <c r="K559" s="676">
        <f t="shared" ref="K559:K561" ca="1" si="246">IF(I559&gt;0,J559*100/I559,0)</f>
        <v>90.694396072773102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IFERROR(__xludf.DUMMYFUNCTION("IMPORTRANGE(""https://docs.google.com/spreadsheets/d/1QqKyyYR6Q21VydFLVH3TRQUabQu_ym0Zz7PgGX0-kHA/edit?usp=sharing"",""แผน!HH75"")"),60297)</f>
        <v>60297</v>
      </c>
      <c r="J560" s="193">
        <f t="shared" ref="J560:J561" si="247">J562+J564+J566</f>
        <v>60294.057000000001</v>
      </c>
      <c r="K560" s="412">
        <f t="shared" ca="1" si="246"/>
        <v>99.99511916015723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IFERROR(__xludf.DUMMYFUNCTION("IMPORTRANGE(""https://docs.google.com/spreadsheets/d/1QqKyyYR6Q21VydFLVH3TRQUabQu_ym0Zz7PgGX0-kHA/edit?usp=sharing"",""แผน!HG75"")"),5074)</f>
        <v>5074</v>
      </c>
      <c r="J561" s="193">
        <f t="shared" si="247"/>
        <v>5074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54374.938999999998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4674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4746.7479999999996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304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1172.3699999999999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96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IFERROR(__xludf.DUMMYFUNCTION("IMPORTRANGE(""https://docs.google.com/spreadsheets/d/1QqKyyYR6Q21VydFLVH3TRQUabQu_ym0Zz7PgGX0-kHA/edit?usp=sharing"",""แผน!HH75"")"),60297)</f>
        <v>60297</v>
      </c>
      <c r="J568" s="680">
        <f t="shared" ref="J568:J569" si="248">J570+J572+J574</f>
        <v>60298</v>
      </c>
      <c r="K568" s="412">
        <f t="shared" ref="K568:K569" ca="1" si="249">IF(I568&gt;0,J568*100/I568,0)</f>
        <v>100.00165845730302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IFERROR(__xludf.DUMMYFUNCTION("IMPORTRANGE(""https://docs.google.com/spreadsheets/d/1QqKyyYR6Q21VydFLVH3TRQUabQu_ym0Zz7PgGX0-kHA/edit?usp=sharing"",""แผน!HG75"")"),5074)</f>
        <v>5074</v>
      </c>
      <c r="J569" s="680">
        <f t="shared" si="248"/>
        <v>5074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54686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4700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4461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277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1151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97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IFERROR(__xludf.DUMMYFUNCTION("IMPORTRANGE(""https://docs.google.com/spreadsheets/d/1QqKyyYR6Q21VydFLVH3TRQUabQu_ym0Zz7PgGX0-kHA/edit?usp=sharing"",""แผน!HH75"")"),60297)</f>
        <v>60297</v>
      </c>
      <c r="J576" s="680">
        <f t="shared" ref="J576:J577" si="250">J578+J580+J582+J588+J590</f>
        <v>54686</v>
      </c>
      <c r="K576" s="412">
        <f t="shared" ref="K576:K577" ca="1" si="251">IF(I576&gt;0,J576*100/I576,0)</f>
        <v>90.694396072773102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IFERROR(__xludf.DUMMYFUNCTION("IMPORTRANGE(""https://docs.google.com/spreadsheets/d/1QqKyyYR6Q21VydFLVH3TRQUabQu_ym0Zz7PgGX0-kHA/edit?usp=sharing"",""แผน!HG75"")"),5074)</f>
        <v>5074</v>
      </c>
      <c r="J577" s="680">
        <f t="shared" si="250"/>
        <v>4700</v>
      </c>
      <c r="K577" s="412">
        <f t="shared" ca="1" si="251"/>
        <v>92.629089475758775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54686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4700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3453.6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IFERROR(__xludf.DUMMYFUNCTION("IMPORTRANGE(""https://docs.google.com/spreadsheets/d/1QqKyyYR6Q21VydFLVH3TRQUabQu_ym0Zz7PgGX0-kHA/edit?usp=sharing"",""แผน!HJ75"")"),3453.6)</f>
        <v>3453.6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IFERROR(__xludf.DUMMYFUNCTION("IMPORTRANGE(""https://docs.google.com/spreadsheets/d/1QqKyyYR6Q21VydFLVH3TRQUabQu_ym0Zz7PgGX0-kHA/edit?usp=sharing"",""แผน!HI75"")"),210)</f>
        <v>210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IFERROR(__xludf.DUMMYFUNCTION("IMPORTRANGE(""https://docs.google.com/spreadsheets/d/1QqKyyYR6Q21VydFLVH3TRQUabQu_ym0Zz7PgGX0-kHA/edit?usp=sharing"",""แผน!HL75"")"),61)</f>
        <v>61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IFERROR(__xludf.DUMMYFUNCTION("IMPORTRANGE(""https://docs.google.com/spreadsheets/d/1QqKyyYR6Q21VydFLVH3TRQUabQu_ym0Zz7PgGX0-kHA/edit?usp=sharing"",""แผน!HK75"")"),9)</f>
        <v>9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50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252900</v>
      </c>
      <c r="M629" s="195">
        <f t="shared" ca="1" si="263"/>
        <v>252900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ca="1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252900</v>
      </c>
      <c r="M631" s="93">
        <f t="shared" ca="1" si="266"/>
        <v>252900</v>
      </c>
      <c r="N631" s="93">
        <f t="shared" si="266"/>
        <v>0</v>
      </c>
      <c r="O631" s="93">
        <f t="shared" ca="1" si="264"/>
        <v>0</v>
      </c>
      <c r="P631" s="93">
        <f t="shared" ca="1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252900</v>
      </c>
      <c r="M632" s="498">
        <f t="shared" ca="1" si="267"/>
        <v>252900</v>
      </c>
      <c r="N632" s="498">
        <f t="shared" si="267"/>
        <v>0</v>
      </c>
      <c r="O632" s="498">
        <f t="shared" ca="1" si="264"/>
        <v>0</v>
      </c>
      <c r="P632" s="498">
        <f t="shared" ca="1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IFERROR(__xludf.DUMMYFUNCTION("IMPORTRANGE(""https://docs.google.com/spreadsheets/d/1QqKyyYR6Q21VydFLVH3TRQUabQu_ym0Zz7PgGX0-kHA/edit?usp=sharing"",""แผน!HN75"")"),252900)</f>
        <v>252900</v>
      </c>
      <c r="M634" s="93">
        <f ca="1">L634</f>
        <v>252900</v>
      </c>
      <c r="N634" s="93">
        <f>N635+N636+N637+N638</f>
        <v>0</v>
      </c>
      <c r="O634" s="93">
        <f t="shared" ca="1" si="264"/>
        <v>0</v>
      </c>
      <c r="P634" s="93">
        <f t="shared" ca="1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IFERROR(__xludf.DUMMYFUNCTION("IMPORTRANGE(""https://docs.google.com/spreadsheets/d/1QqKyyYR6Q21VydFLVH3TRQUabQu_ym0Zz7PgGX0-kHA/edit?usp=sharing"",""แผน!HR75"")"),2)</f>
        <v>2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IFERROR(__xludf.DUMMYFUNCTION("IMPORTRANGE(""https://docs.google.com/spreadsheets/d/1QqKyyYR6Q21VydFLVH3TRQUabQu_ym0Zz7PgGX0-kHA/edit?usp=sharing"",""แผน!HR75"")"),2)</f>
        <v>2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IFERROR(__xludf.DUMMYFUNCTION("IMPORTRANGE(""https://docs.google.com/spreadsheets/d/1XWAQStnk-4SwqDmLtmXYiTMKHgktTP8We1SCoS47DrQ/edit?usp=sharing"",""จัดที่ดิน!AS75"")"),0)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IFERROR(__xludf.DUMMYFUNCTION("IMPORTRANGE(""https://docs.google.com/spreadsheets/d/1XWAQStnk-4SwqDmLtmXYiTMKHgktTP8We1SCoS47DrQ/edit?usp=sharing"",""จัดที่ดิน!AT75"")"),0)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IFERROR(__xludf.DUMMYFUNCTION("IMPORTRANGE(""https://docs.google.com/spreadsheets/d/1QqKyyYR6Q21VydFLVH3TRQUabQu_ym0Zz7PgGX0-kHA/edit?usp=sharing"",""แผน!HS75"")"),50)</f>
        <v>50</v>
      </c>
      <c r="J647" s="270">
        <f ca="1">IFERROR(__xludf.DUMMYFUNCTION("IMPORTRANGE(""https://docs.google.com/spreadsheets/d/1XWAQStnk-4SwqDmLtmXYiTMKHgktTP8We1SCoS47DrQ/edit?usp=sharing"",""จัดที่ดิน!AU75"")"),0)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IFERROR(__xludf.DUMMYFUNCTION("IMPORTRANGE(""https://docs.google.com/spreadsheets/d/1XWAQStnk-4SwqDmLtmXYiTMKHgktTP8We1SCoS47DrQ/edit?usp=sharing"",""จัดที่ดิน!AV75"")"),0)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IFERROR(__xludf.DUMMYFUNCTION("IMPORTRANGE(""https://docs.google.com/spreadsheets/d/1QqKyyYR6Q21VydFLVH3TRQUabQu_ym0Zz7PgGX0-kHA/edit?usp=sharing"",""แผน!HS75"")"),50)</f>
        <v>50</v>
      </c>
      <c r="J649" s="270">
        <f ca="1">IFERROR(__xludf.DUMMYFUNCTION("IMPORTRANGE(""https://docs.google.com/spreadsheets/d/1XWAQStnk-4SwqDmLtmXYiTMKHgktTP8We1SCoS47DrQ/edit?usp=sharing"",""จัดที่ดิน!AW75"")"),0)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IFERROR(__xludf.DUMMYFUNCTION("IMPORTRANGE(""https://docs.google.com/spreadsheets/d/1XWAQStnk-4SwqDmLtmXYiTMKHgktTP8We1SCoS47DrQ/edit?usp=sharing"",""จัดที่ดิน!AX75"")"),0)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IFERROR(__xludf.DUMMYFUNCTION("IMPORTRANGE(""https://docs.google.com/spreadsheets/d/1QqKyyYR6Q21VydFLVH3TRQUabQu_ym0Zz7PgGX0-kHA/edit?usp=sharing"",""แผน!HS75"")"),50)</f>
        <v>50</v>
      </c>
      <c r="J651" s="270">
        <f ca="1">IFERROR(__xludf.DUMMYFUNCTION("IMPORTRANGE(""https://docs.google.com/spreadsheets/d/1XWAQStnk-4SwqDmLtmXYiTMKHgktTP8We1SCoS47DrQ/edit?usp=sharing"",""จัดที่ดิน!AY75"")"),0)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IFERROR(__xludf.DUMMYFUNCTION("IMPORTRANGE(""https://docs.google.com/spreadsheets/d/1XWAQStnk-4SwqDmLtmXYiTMKHgktTP8We1SCoS47DrQ/edit?usp=sharing"",""จัดที่ดิน!AZ75"")"),0)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IFERROR(__xludf.DUMMYFUNCTION("IMPORTRANGE(""https://docs.google.com/spreadsheets/d/1QqKyyYR6Q21VydFLVH3TRQUabQu_ym0Zz7PgGX0-kHA/edit?usp=sharing"",""แผน!IA75"")"),0)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IFERROR(__xludf.DUMMYFUNCTION("IMPORTRANGE(""https://docs.google.com/spreadsheets/d/1QqKyyYR6Q21VydFLVH3TRQUabQu_ym0Zz7PgGX0-kHA/edit?usp=sharing"",""แผน!HZ75"")"),0)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IFERROR(__xludf.DUMMYFUNCTION("IMPORTRANGE(""https://docs.google.com/spreadsheets/d/1QqKyyYR6Q21VydFLVH3TRQUabQu_ym0Zz7PgGX0-kHA/edit?usp=sharing"",""แผน!HZ75"")"),0)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IFERROR(__xludf.DUMMYFUNCTION("IMPORTRANGE(""https://docs.google.com/spreadsheets/d/1QqKyyYR6Q21VydFLVH3TRQUabQu_ym0Zz7PgGX0-kHA/edit?usp=sharing"",""แผน!IB75"")"),0)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IFERROR(__xludf.DUMMYFUNCTION("IMPORTRANGE(""https://docs.google.com/spreadsheets/d/1QqKyyYR6Q21VydFLVH3TRQUabQu_ym0Zz7PgGX0-kHA/edit?usp=sharing"",""แผน!IC75"")"),0)</f>
        <v>0</v>
      </c>
      <c r="J699" s="270">
        <f ca="1">IFERROR(__xludf.DUMMYFUNCTION("IMPORTRANGE(""https://docs.google.com/spreadsheets/d/1XWAQStnk-4SwqDmLtmXYiTMKHgktTP8We1SCoS47DrQ/edit?usp=sharing"",""จัดที่ดิน!BB75"")"),0)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IFERROR(__xludf.DUMMYFUNCTION("IMPORTRANGE(""https://docs.google.com/spreadsheets/d/1QqKyyYR6Q21VydFLVH3TRQUabQu_ym0Zz7PgGX0-kHA/edit?usp=sharing"",""แผน!ID75"")"),0)</f>
        <v>0</v>
      </c>
      <c r="J700" s="270">
        <f ca="1">IFERROR(__xludf.DUMMYFUNCTION("IMPORTRANGE(""https://docs.google.com/spreadsheets/d/1XWAQStnk-4SwqDmLtmXYiTMKHgktTP8We1SCoS47DrQ/edit?usp=sharing"",""จัดที่ดิน!BD75"")"),0)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IFERROR(__xludf.DUMMYFUNCTION("IMPORTRANGE(""https://docs.google.com/spreadsheets/d/1QqKyyYR6Q21VydFLVH3TRQUabQu_ym0Zz7PgGX0-kHA/edit?usp=sharing"",""แผน!IE75"")"),0)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IFERROR(__xludf.DUMMYFUNCTION("IMPORTRANGE(""https://docs.google.com/spreadsheets/d/1QqKyyYR6Q21VydFLVH3TRQUabQu_ym0Zz7PgGX0-kHA/edit?usp=sharing"",""แผน!IF75"")"),0)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IFERROR(__xludf.DUMMYFUNCTION("IMPORTRANGE(""https://docs.google.com/spreadsheets/d/1QqKyyYR6Q21VydFLVH3TRQUabQu_ym0Zz7PgGX0-kHA/edit?usp=sharing"",""แผน!IG75"")"),0)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IFERROR(__xludf.DUMMYFUNCTION("IMPORTRANGE(""https://docs.google.com/spreadsheets/d/1QqKyyYR6Q21VydFLVH3TRQUabQu_ym0Zz7PgGX0-kHA/edit?usp=sharing"",""แผน!IH75"")"),0)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IFERROR(__xludf.DUMMYFUNCTION("IMPORTRANGE(""https://docs.google.com/spreadsheets/d/1XWAQStnk-4SwqDmLtmXYiTMKHgktTP8We1SCoS47DrQ/edit?usp=sharing"",""จัดที่ดิน!BF75"")"),0)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IFERROR(__xludf.DUMMYFUNCTION("IMPORTRANGE(""https://docs.google.com/spreadsheets/d/1XWAQStnk-4SwqDmLtmXYiTMKHgktTP8We1SCoS47DrQ/edit?usp=sharing"",""จัดที่ดิน!BG75"")"),0)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IFERROR(__xludf.DUMMYFUNCTION("IMPORTRANGE(""https://docs.google.com/spreadsheets/d/1QqKyyYR6Q21VydFLVH3TRQUabQu_ym0Zz7PgGX0-kHA/edit?usp=sharing"",""แผน!II75"")"),0)</f>
        <v>0</v>
      </c>
      <c r="J720" s="270">
        <f ca="1">IFERROR(__xludf.DUMMYFUNCTION("IMPORTRANGE(""https://docs.google.com/spreadsheets/d/1XWAQStnk-4SwqDmLtmXYiTMKHgktTP8We1SCoS47DrQ/edit?usp=sharing"",""จัดที่ดิน!BH75"")"),0)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IFERROR(__xludf.DUMMYFUNCTION("IMPORTRANGE(""https://docs.google.com/spreadsheets/d/1QqKyyYR6Q21VydFLVH3TRQUabQu_ym0Zz7PgGX0-kHA/edit?usp=sharing"",""แผน!IJ75"")"),0)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IFERROR(__xludf.DUMMYFUNCTION("IMPORTRANGE(""https://docs.google.com/spreadsheets/d/1QqKyyYR6Q21VydFLVH3TRQUabQu_ym0Zz7PgGX0-kHA/edit?usp=sharing"",""แผน!IK75"")"),0)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IFERROR(__xludf.DUMMYFUNCTION("IMPORTRANGE(""https://docs.google.com/spreadsheets/d/1QqKyyYR6Q21VydFLVH3TRQUabQu_ym0Zz7PgGX0-kHA/edit?usp=sharing"",""แผน!IL75"")"),0)</f>
        <v>0</v>
      </c>
      <c r="J723" s="270">
        <f ca="1">IFERROR(__xludf.DUMMYFUNCTION("IMPORTRANGE(""https://docs.google.com/spreadsheets/d/1XWAQStnk-4SwqDmLtmXYiTMKHgktTP8We1SCoS47DrQ/edit?usp=sharing"",""จัดที่ดิน!BM75"")"),0)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IFERROR(__xludf.DUMMYFUNCTION("IMPORTRANGE(""https://docs.google.com/spreadsheets/d/1XWAQStnk-4SwqDmLtmXYiTMKHgktTP8We1SCoS47DrQ/edit?usp=sharing"",""จัดที่ดิน!BN75"")"),0)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IFERROR(__xludf.DUMMYFUNCTION("IMPORTRANGE(""https://docs.google.com/spreadsheets/d/1QqKyyYR6Q21VydFLVH3TRQUabQu_ym0Zz7PgGX0-kHA/edit?usp=sharing"",""แผน!IM75"")"),0)</f>
        <v>0</v>
      </c>
      <c r="J725" s="270">
        <f ca="1">IFERROR(__xludf.DUMMYFUNCTION("IMPORTRANGE(""https://docs.google.com/spreadsheets/d/1XWAQStnk-4SwqDmLtmXYiTMKHgktTP8We1SCoS47DrQ/edit?usp=sharing"",""จัดที่ดิน!BO75"")"),0)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IFERROR(__xludf.DUMMYFUNCTION("IMPORTRANGE(""https://docs.google.com/spreadsheets/d/1QqKyyYR6Q21VydFLVH3TRQUabQu_ym0Zz7PgGX0-kHA/edit?usp=sharing"",""แผน!IN75"")"),0)</f>
        <v>0</v>
      </c>
      <c r="J726" s="270">
        <f ca="1">IFERROR(__xludf.DUMMYFUNCTION("IMPORTRANGE(""https://docs.google.com/spreadsheets/d/1XWAQStnk-4SwqDmLtmXYiTMKHgktTP8We1SCoS47DrQ/edit?usp=sharing"",""จัดที่ดิน!BR75"")"),0)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IFERROR(__xludf.DUMMYFUNCTION("IMPORTRANGE(""https://docs.google.com/spreadsheets/d/1XWAQStnk-4SwqDmLtmXYiTMKHgktTP8We1SCoS47DrQ/edit?usp=sharing"",""จัดที่ดิน!BS75"")"),0)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IFERROR(__xludf.DUMMYFUNCTION("IMPORTRANGE(""https://docs.google.com/spreadsheets/d/1QqKyyYR6Q21VydFLVH3TRQUabQu_ym0Zz7PgGX0-kHA/edit?usp=sharing"",""แผน!IO75"")"),0)</f>
        <v>0</v>
      </c>
      <c r="J728" s="270">
        <f ca="1">IFERROR(__xludf.DUMMYFUNCTION("IMPORTRANGE(""https://docs.google.com/spreadsheets/d/1XWAQStnk-4SwqDmLtmXYiTMKHgktTP8We1SCoS47DrQ/edit?usp=sharing"",""จัดที่ดิน!BT75"")"),0)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IFERROR(__xludf.DUMMYFUNCTION("IMPORTRANGE(""https://docs.google.com/spreadsheets/d/1QqKyyYR6Q21VydFLVH3TRQUabQu_ym0Zz7PgGX0-kHA/edit?usp=sharing"",""แผน!IP75"")"),0)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IFERROR(__xludf.DUMMYFUNCTION("IMPORTRANGE(""https://docs.google.com/spreadsheets/d/1QqKyyYR6Q21VydFLVH3TRQUabQu_ym0Zz7PgGX0-kHA/edit?usp=sharing"",""แผน!JN75"")"),0)</f>
        <v>0</v>
      </c>
      <c r="J800" s="184">
        <f ca="1">IFERROR(__xludf.DUMMYFUNCTION("IMPORTRANGE(""https://docs.google.com/spreadsheets/d/1MaWodYyGHDf7siQLGxnXhG4mBNTNIuy296niS2xXulU/edit?usp=sharing"",""RTK!H75"")"),0)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IFERROR(__xludf.DUMMYFUNCTION("IMPORTRANGE(""https://docs.google.com/spreadsheets/d/1MaWodYyGHDf7siQLGxnXhG4mBNTNIuy296niS2xXulU/edit?usp=sharing"",""RTK!I75"")"),0)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333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IFERROR(__xludf.DUMMYFUNCTION("IMPORTRANGE(""https://docs.google.com/spreadsheets/d/19vJNZY_5yjcGF2XGBMNZRCAIB0Kwfpjp8YEOfu-bneM/edit?usp=sharing"",""งานกองทุน!D75"")"),157301.8)</f>
        <v>157301.79999999999</v>
      </c>
      <c r="J821" s="270">
        <f ca="1">IFERROR(__xludf.DUMMYFUNCTION("IMPORTRANGE(""https://docs.google.com/spreadsheets/d/19vJNZY_5yjcGF2XGBMNZRCAIB0Kwfpjp8YEOfu-bneM/edit?usp=sharing"",""งานกองทุน!F75"")"),293570.89)</f>
        <v>293570.89</v>
      </c>
      <c r="K821" s="498">
        <f t="shared" ref="K821:K828" ca="1" si="335">IF(I821&gt;0,J821*100/I821,0)</f>
        <v>186.62907226745023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IFERROR(__xludf.DUMMYFUNCTION("IMPORTRANGE(""https://docs.google.com/spreadsheets/d/19vJNZY_5yjcGF2XGBMNZRCAIB0Kwfpjp8YEOfu-bneM/edit?usp=sharing"",""งานกองทุน!C75"")"),18)</f>
        <v>18</v>
      </c>
      <c r="J822" s="270">
        <f ca="1">IFERROR(__xludf.DUMMYFUNCTION("IMPORTRANGE(""https://docs.google.com/spreadsheets/d/19vJNZY_5yjcGF2XGBMNZRCAIB0Kwfpjp8YEOfu-bneM/edit?usp=sharing"",""งานกองทุน!E75"")"),25)</f>
        <v>25</v>
      </c>
      <c r="K822" s="498">
        <f t="shared" ca="1" si="335"/>
        <v>138.88888888888889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IFERROR(__xludf.DUMMYFUNCTION("IMPORTRANGE(""https://docs.google.com/spreadsheets/d/19vJNZY_5yjcGF2XGBMNZRCAIB0Kwfpjp8YEOfu-bneM/edit?usp=sharing"",""งานกองทุน!I75"")"),761858.64)</f>
        <v>761858.64</v>
      </c>
      <c r="J823" s="270">
        <f ca="1">IFERROR(__xludf.DUMMYFUNCTION("IMPORTRANGE(""https://docs.google.com/spreadsheets/d/19vJNZY_5yjcGF2XGBMNZRCAIB0Kwfpjp8YEOfu-bneM/edit?usp=sharing"",""งานกองทุน!K75"")"),1395283.01)</f>
        <v>1395283.01</v>
      </c>
      <c r="K823" s="498">
        <f t="shared" ca="1" si="335"/>
        <v>183.14198156235386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IFERROR(__xludf.DUMMYFUNCTION("IMPORTRANGE(""https://docs.google.com/spreadsheets/d/19vJNZY_5yjcGF2XGBMNZRCAIB0Kwfpjp8YEOfu-bneM/edit?usp=sharing"",""งานกองทุน!H75"")"),26)</f>
        <v>26</v>
      </c>
      <c r="J824" s="270">
        <f ca="1">IFERROR(__xludf.DUMMYFUNCTION("IMPORTRANGE(""https://docs.google.com/spreadsheets/d/19vJNZY_5yjcGF2XGBMNZRCAIB0Kwfpjp8YEOfu-bneM/edit?usp=sharing"",""งานกองทุน!J75"")"),126)</f>
        <v>126</v>
      </c>
      <c r="K824" s="498">
        <f t="shared" ca="1" si="335"/>
        <v>484.61538461538464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IFERROR(__xludf.DUMMYFUNCTION("IMPORTRANGE(""https://docs.google.com/spreadsheets/d/19vJNZY_5yjcGF2XGBMNZRCAIB0Kwfpjp8YEOfu-bneM/edit?usp=sharing"",""งานกองทุน!N75"")"),0)</f>
        <v>0</v>
      </c>
      <c r="J825" s="270">
        <f ca="1">IFERROR(__xludf.DUMMYFUNCTION("IMPORTRANGE(""https://docs.google.com/spreadsheets/d/19vJNZY_5yjcGF2XGBMNZRCAIB0Kwfpjp8YEOfu-bneM/edit?usp=sharing"",""งานกองทุน!P75"")"),23029.74)</f>
        <v>23029.74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IFERROR(__xludf.DUMMYFUNCTION("IMPORTRANGE(""https://docs.google.com/spreadsheets/d/19vJNZY_5yjcGF2XGBMNZRCAIB0Kwfpjp8YEOfu-bneM/edit?usp=sharing"",""งานกองทุน!M75"")"),0)</f>
        <v>0</v>
      </c>
      <c r="J826" s="270">
        <f ca="1">IFERROR(__xludf.DUMMYFUNCTION("IMPORTRANGE(""https://docs.google.com/spreadsheets/d/19vJNZY_5yjcGF2XGBMNZRCAIB0Kwfpjp8YEOfu-bneM/edit?usp=sharing"",""งานกองทุน!O75"")"),14)</f>
        <v>14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IFERROR(__xludf.DUMMYFUNCTION("IMPORTRANGE(""https://docs.google.com/spreadsheets/d/19vJNZY_5yjcGF2XGBMNZRCAIB0Kwfpjp8YEOfu-bneM/edit?usp=sharing"",""งานกองทุน!S75"")"),280000)</f>
        <v>280000</v>
      </c>
      <c r="J827" s="270">
        <f ca="1">IFERROR(__xludf.DUMMYFUNCTION("IMPORTRANGE(""https://docs.google.com/spreadsheets/d/19vJNZY_5yjcGF2XGBMNZRCAIB0Kwfpjp8YEOfu-bneM/edit?usp=sharing"",""งานกองทุน!U75"")"),200000)</f>
        <v>200000</v>
      </c>
      <c r="K827" s="498">
        <f t="shared" ca="1" si="335"/>
        <v>71.428571428571431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IFERROR(__xludf.DUMMYFUNCTION("IMPORTRANGE(""https://docs.google.com/spreadsheets/d/19vJNZY_5yjcGF2XGBMNZRCAIB0Kwfpjp8YEOfu-bneM/edit?usp=sharing"",""งานกองทุน!R75"")"),11)</f>
        <v>11</v>
      </c>
      <c r="J828" s="505">
        <f ca="1">IFERROR(__xludf.DUMMYFUNCTION("IMPORTRANGE(""https://docs.google.com/spreadsheets/d/19vJNZY_5yjcGF2XGBMNZRCAIB0Kwfpjp8YEOfu-bneM/edit?usp=sharing"",""งานกองทุน!T75"")"),4)</f>
        <v>4</v>
      </c>
      <c r="K828" s="506">
        <f t="shared" ca="1" si="335"/>
        <v>36.363636363636367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170CB-7B1F-498F-A0E5-F369E89B4DA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334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5726081</v>
      </c>
      <c r="M8" s="22">
        <f t="shared" ca="1" si="0"/>
        <v>6302109</v>
      </c>
      <c r="N8" s="22">
        <f t="shared" ca="1" si="0"/>
        <v>4996915.03</v>
      </c>
      <c r="O8" s="22">
        <f t="shared" ref="O8:O16" ca="1" si="1">IF(L8&gt;0,N8*100/L8,0)</f>
        <v>87.265880975138145</v>
      </c>
      <c r="P8" s="22">
        <f t="shared" ref="P8:P16" ca="1" si="2">IF(M8&gt;0,N8*100/M8,0)</f>
        <v>79.289568460336056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5726081</v>
      </c>
      <c r="M10" s="30">
        <f t="shared" ca="1" si="3"/>
        <v>6302109</v>
      </c>
      <c r="N10" s="30">
        <f t="shared" ca="1" si="3"/>
        <v>4996915.03</v>
      </c>
      <c r="O10" s="30">
        <f t="shared" ca="1" si="1"/>
        <v>87.265880975138145</v>
      </c>
      <c r="P10" s="30">
        <f t="shared" ca="1" si="2"/>
        <v>79.289568460336056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5381281</v>
      </c>
      <c r="M11" s="498">
        <f t="shared" ca="1" si="4"/>
        <v>5934309</v>
      </c>
      <c r="N11" s="498">
        <f t="shared" ca="1" si="4"/>
        <v>4652115.03</v>
      </c>
      <c r="O11" s="498">
        <f t="shared" ca="1" si="1"/>
        <v>86.449955503159941</v>
      </c>
      <c r="P11" s="498">
        <f t="shared" ca="1" si="2"/>
        <v>78.393542196741024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5381281</v>
      </c>
      <c r="M13" s="93">
        <f t="shared" ca="1" si="5"/>
        <v>5934309</v>
      </c>
      <c r="N13" s="93">
        <f t="shared" ca="1" si="5"/>
        <v>4652115.03</v>
      </c>
      <c r="O13" s="93">
        <f t="shared" ca="1" si="1"/>
        <v>86.449955503159941</v>
      </c>
      <c r="P13" s="93">
        <f t="shared" ca="1" si="2"/>
        <v>78.393542196741024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344800</v>
      </c>
      <c r="M14" s="498">
        <f t="shared" ca="1" si="6"/>
        <v>367800</v>
      </c>
      <c r="N14" s="498">
        <f t="shared" ca="1" si="6"/>
        <v>344800</v>
      </c>
      <c r="O14" s="498">
        <f t="shared" ca="1" si="1"/>
        <v>100</v>
      </c>
      <c r="P14" s="498">
        <f t="shared" ca="1" si="2"/>
        <v>93.74660141381186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344800</v>
      </c>
      <c r="M16" s="52">
        <f t="shared" ca="1" si="7"/>
        <v>367800</v>
      </c>
      <c r="N16" s="52">
        <f t="shared" ca="1" si="7"/>
        <v>344800</v>
      </c>
      <c r="O16" s="52">
        <f t="shared" ca="1" si="1"/>
        <v>100</v>
      </c>
      <c r="P16" s="52">
        <f t="shared" ca="1" si="2"/>
        <v>93.74660141381186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3606245</v>
      </c>
      <c r="M18" s="22">
        <f t="shared" ca="1" si="8"/>
        <v>4182273</v>
      </c>
      <c r="N18" s="22">
        <f t="shared" ca="1" si="8"/>
        <v>3315162.2100000004</v>
      </c>
      <c r="O18" s="22">
        <f t="shared" ref="O18:O26" ca="1" si="9">IF(L18&gt;0,N18*100/L18,0)</f>
        <v>91.928368982140725</v>
      </c>
      <c r="P18" s="22">
        <f t="shared" ref="P18:P26" ca="1" si="10">IF(M18&gt;0,N18*100/M18,0)</f>
        <v>79.266996917704816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3606245</v>
      </c>
      <c r="M20" s="30">
        <f t="shared" ca="1" si="11"/>
        <v>4182273</v>
      </c>
      <c r="N20" s="30">
        <f t="shared" ca="1" si="11"/>
        <v>3315162.2100000004</v>
      </c>
      <c r="O20" s="30">
        <f t="shared" ca="1" si="9"/>
        <v>91.928368982140725</v>
      </c>
      <c r="P20" s="30">
        <f t="shared" ca="1" si="10"/>
        <v>79.266996917704816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3261445</v>
      </c>
      <c r="M21" s="498">
        <f t="shared" ca="1" si="12"/>
        <v>3814473</v>
      </c>
      <c r="N21" s="498">
        <f t="shared" ca="1" si="12"/>
        <v>2970362.2100000004</v>
      </c>
      <c r="O21" s="498">
        <f t="shared" ca="1" si="9"/>
        <v>91.075036065302356</v>
      </c>
      <c r="P21" s="498">
        <f t="shared" ca="1" si="10"/>
        <v>77.870841135852856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3261445</v>
      </c>
      <c r="M23" s="93">
        <f t="shared" ca="1" si="13"/>
        <v>3814473</v>
      </c>
      <c r="N23" s="93">
        <f t="shared" ca="1" si="13"/>
        <v>2970362.2100000004</v>
      </c>
      <c r="O23" s="93">
        <f t="shared" ca="1" si="9"/>
        <v>91.075036065302356</v>
      </c>
      <c r="P23" s="93">
        <f t="shared" ca="1" si="10"/>
        <v>77.870841135852856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344800</v>
      </c>
      <c r="M24" s="498">
        <f t="shared" ca="1" si="14"/>
        <v>367800</v>
      </c>
      <c r="N24" s="498">
        <f t="shared" ca="1" si="14"/>
        <v>344800</v>
      </c>
      <c r="O24" s="498">
        <f t="shared" ca="1" si="9"/>
        <v>100</v>
      </c>
      <c r="P24" s="498">
        <f t="shared" ca="1" si="10"/>
        <v>93.74660141381186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344800</v>
      </c>
      <c r="M26" s="52">
        <f t="shared" ca="1" si="15"/>
        <v>367800</v>
      </c>
      <c r="N26" s="52">
        <f t="shared" ca="1" si="15"/>
        <v>344800</v>
      </c>
      <c r="O26" s="52">
        <f t="shared" ca="1" si="9"/>
        <v>100</v>
      </c>
      <c r="P26" s="52">
        <f t="shared" ca="1" si="10"/>
        <v>93.74660141381186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2119836</v>
      </c>
      <c r="M28" s="22">
        <f t="shared" ca="1" si="16"/>
        <v>2119836</v>
      </c>
      <c r="N28" s="22">
        <f t="shared" si="16"/>
        <v>1681752.82</v>
      </c>
      <c r="O28" s="22">
        <f t="shared" ref="O28:O37" ca="1" si="17">IF(L28&gt;0,N28*100/L28,0)</f>
        <v>79.334100373802499</v>
      </c>
      <c r="P28" s="22">
        <f t="shared" ref="P28:P37" ca="1" si="18">IF(M28&gt;0,N28*100/M28,0)</f>
        <v>79.334100373802499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2119836</v>
      </c>
      <c r="M30" s="30">
        <f t="shared" ca="1" si="19"/>
        <v>2119836</v>
      </c>
      <c r="N30" s="30">
        <f t="shared" si="19"/>
        <v>1681752.82</v>
      </c>
      <c r="O30" s="30">
        <f t="shared" ca="1" si="17"/>
        <v>79.334100373802499</v>
      </c>
      <c r="P30" s="30">
        <f t="shared" ca="1" si="18"/>
        <v>79.334100373802499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2119836</v>
      </c>
      <c r="M31" s="498">
        <f t="shared" ca="1" si="20"/>
        <v>2119836</v>
      </c>
      <c r="N31" s="498">
        <f t="shared" si="20"/>
        <v>1681752.82</v>
      </c>
      <c r="O31" s="498">
        <f t="shared" ca="1" si="17"/>
        <v>79.334100373802499</v>
      </c>
      <c r="P31" s="498">
        <f t="shared" ca="1" si="18"/>
        <v>79.334100373802499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2119836</v>
      </c>
      <c r="M33" s="93">
        <f t="shared" ca="1" si="21"/>
        <v>2119836</v>
      </c>
      <c r="N33" s="93">
        <f t="shared" si="21"/>
        <v>1681752.82</v>
      </c>
      <c r="O33" s="93">
        <f t="shared" ca="1" si="17"/>
        <v>79.334100373802499</v>
      </c>
      <c r="P33" s="93">
        <f t="shared" ca="1" si="18"/>
        <v>79.334100373802499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3606245</v>
      </c>
      <c r="M37" s="858">
        <f t="shared" ca="1" si="24"/>
        <v>4182273</v>
      </c>
      <c r="N37" s="858">
        <f t="shared" ca="1" si="24"/>
        <v>3315162.2100000004</v>
      </c>
      <c r="O37" s="858">
        <f t="shared" ca="1" si="17"/>
        <v>91.928368982140725</v>
      </c>
      <c r="P37" s="858">
        <f t="shared" ca="1" si="18"/>
        <v>79.266996917704816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599200</v>
      </c>
      <c r="M41" s="85">
        <f t="shared" ca="1" si="25"/>
        <v>628460</v>
      </c>
      <c r="N41" s="85">
        <f t="shared" ca="1" si="25"/>
        <v>483367.5</v>
      </c>
      <c r="O41" s="85">
        <f t="shared" ref="O41:O49" ca="1" si="26">IF(L41&gt;0,N41*100/L41,0)</f>
        <v>80.668808411214954</v>
      </c>
      <c r="P41" s="85">
        <f t="shared" ref="P41:P49" ca="1" si="27">IF(M41&gt;0,N41*100/M41,0)</f>
        <v>76.913009578970815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599200</v>
      </c>
      <c r="M43" s="92">
        <f t="shared" ca="1" si="28"/>
        <v>628460</v>
      </c>
      <c r="N43" s="92">
        <f t="shared" ca="1" si="28"/>
        <v>483367.5</v>
      </c>
      <c r="O43" s="92">
        <f t="shared" ca="1" si="26"/>
        <v>80.668808411214954</v>
      </c>
      <c r="P43" s="92">
        <f t="shared" ca="1" si="27"/>
        <v>76.913009578970815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599200</v>
      </c>
      <c r="M44" s="498">
        <f t="shared" ca="1" si="29"/>
        <v>628460</v>
      </c>
      <c r="N44" s="498">
        <f t="shared" ca="1" si="29"/>
        <v>483367.5</v>
      </c>
      <c r="O44" s="498">
        <f t="shared" ca="1" si="26"/>
        <v>80.668808411214954</v>
      </c>
      <c r="P44" s="498">
        <f t="shared" ca="1" si="27"/>
        <v>76.913009578970815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IFERROR(__xludf.DUMMYFUNCTION("IMPORTRANGE(""https://docs.google.com/spreadsheets/d/1MeEWN-I1oV_STSDYn1IFDPWt_1FKiwhDph83XaGc0o0/edit?usp=sharing"",""งบพรบ!M76"")"),599200)</f>
        <v>599200</v>
      </c>
      <c r="M46" s="93">
        <f ca="1">IFERROR(__xludf.DUMMYFUNCTION("IMPORTRANGE(""https://docs.google.com/spreadsheets/d/1MeEWN-I1oV_STSDYn1IFDPWt_1FKiwhDph83XaGc0o0/edit?usp=sharing"",""งบพรบ!R76"")"),628460)</f>
        <v>628460</v>
      </c>
      <c r="N46" s="93">
        <f ca="1">IFERROR(__xludf.DUMMYFUNCTION("IMPORTRANGE(""https://docs.google.com/spreadsheets/d/1MeEWN-I1oV_STSDYn1IFDPWt_1FKiwhDph83XaGc0o0/edit?usp=sharing"",""งบพรบ!T76"")"),483367.5)</f>
        <v>483367.5</v>
      </c>
      <c r="O46" s="93">
        <f t="shared" ca="1" si="26"/>
        <v>80.668808411214954</v>
      </c>
      <c r="P46" s="93">
        <f t="shared" ca="1" si="27"/>
        <v>76.913009578970815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IFERROR(__xludf.DUMMYFUNCTION("IMPORTRANGE(""https://docs.google.com/spreadsheets/d/1MeEWN-I1oV_STSDYn1IFDPWt_1FKiwhDph83XaGc0o0/edit?usp=sharing"",""งบพรบ!P76"")"),0)</f>
        <v>0</v>
      </c>
      <c r="M49" s="52">
        <f ca="1">IFERROR(__xludf.DUMMYFUNCTION("IMPORTRANGE(""https://docs.google.com/spreadsheets/d/1MeEWN-I1oV_STSDYn1IFDPWt_1FKiwhDph83XaGc0o0/edit?usp=sharing"",""งบพรบ!S76"")"),0)</f>
        <v>0</v>
      </c>
      <c r="N49" s="52">
        <f ca="1">IFERROR(__xludf.DUMMYFUNCTION("IMPORTRANGE(""https://docs.google.com/spreadsheets/d/1MeEWN-I1oV_STSDYn1IFDPWt_1FKiwhDph83XaGc0o0/edit?usp=sharing"",""งบพรบ!U76"")"),0)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726500</v>
      </c>
      <c r="M53" s="116">
        <f t="shared" ca="1" si="31"/>
        <v>759758</v>
      </c>
      <c r="N53" s="116">
        <f t="shared" ca="1" si="31"/>
        <v>708582.91</v>
      </c>
      <c r="O53" s="116">
        <f t="shared" ref="O53:O61" ca="1" si="32">IF(L53&gt;0,N53*100/L53,0)</f>
        <v>97.533779766001373</v>
      </c>
      <c r="P53" s="116">
        <f t="shared" ref="P53:P61" ca="1" si="33">IF(M53&gt;0,N53*100/M53,0)</f>
        <v>93.26429073468131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726500</v>
      </c>
      <c r="M55" s="123">
        <f t="shared" ca="1" si="34"/>
        <v>759758</v>
      </c>
      <c r="N55" s="123">
        <f t="shared" ca="1" si="34"/>
        <v>708582.91</v>
      </c>
      <c r="O55" s="123">
        <f t="shared" ca="1" si="32"/>
        <v>97.533779766001373</v>
      </c>
      <c r="P55" s="123">
        <f t="shared" ca="1" si="33"/>
        <v>93.26429073468131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686700</v>
      </c>
      <c r="M56" s="498">
        <f t="shared" ca="1" si="35"/>
        <v>696958</v>
      </c>
      <c r="N56" s="498">
        <f t="shared" ca="1" si="35"/>
        <v>668782.91</v>
      </c>
      <c r="O56" s="498">
        <f t="shared" ca="1" si="32"/>
        <v>97.39084170671326</v>
      </c>
      <c r="P56" s="498">
        <f t="shared" ca="1" si="33"/>
        <v>95.957419241905541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IFERROR(__xludf.DUMMYFUNCTION("IMPORTRANGE(""https://docs.google.com/spreadsheets/d/1MeEWN-I1oV_STSDYn1IFDPWt_1FKiwhDph83XaGc0o0/edit?usp=sharing"",""งบพรบ!W76"")"),686700)</f>
        <v>686700</v>
      </c>
      <c r="M58" s="93">
        <f ca="1">IFERROR(__xludf.DUMMYFUNCTION("IMPORTRANGE(""https://docs.google.com/spreadsheets/d/1MeEWN-I1oV_STSDYn1IFDPWt_1FKiwhDph83XaGc0o0/edit?usp=sharing"",""งบพรบ!AB76"")"),696958)</f>
        <v>696958</v>
      </c>
      <c r="N58" s="93">
        <f ca="1">IFERROR(__xludf.DUMMYFUNCTION("IMPORTRANGE(""https://docs.google.com/spreadsheets/d/1MeEWN-I1oV_STSDYn1IFDPWt_1FKiwhDph83XaGc0o0/edit?usp=sharing"",""งบพรบ!AD76"")"),668782.91)</f>
        <v>668782.91</v>
      </c>
      <c r="O58" s="93">
        <f t="shared" ca="1" si="32"/>
        <v>97.39084170671326</v>
      </c>
      <c r="P58" s="93">
        <f t="shared" ca="1" si="33"/>
        <v>95.957419241905541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39800</v>
      </c>
      <c r="M59" s="498">
        <f t="shared" ca="1" si="36"/>
        <v>62800</v>
      </c>
      <c r="N59" s="498">
        <f t="shared" ca="1" si="36"/>
        <v>39800</v>
      </c>
      <c r="O59" s="498">
        <f t="shared" ca="1" si="32"/>
        <v>100</v>
      </c>
      <c r="P59" s="498">
        <f t="shared" ca="1" si="33"/>
        <v>63.375796178343947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IFERROR(__xludf.DUMMYFUNCTION("IMPORTRANGE(""https://docs.google.com/spreadsheets/d/1MeEWN-I1oV_STSDYn1IFDPWt_1FKiwhDph83XaGc0o0/edit?usp=sharing"",""งบพรบ!Z76"")"),39800)</f>
        <v>39800</v>
      </c>
      <c r="M61" s="52">
        <f ca="1">IFERROR(__xludf.DUMMYFUNCTION("IMPORTRANGE(""https://docs.google.com/spreadsheets/d/1MeEWN-I1oV_STSDYn1IFDPWt_1FKiwhDph83XaGc0o0/edit?usp=sharing"",""งบพรบ!AC76"")"),62800)</f>
        <v>62800</v>
      </c>
      <c r="N61" s="52">
        <f ca="1">IFERROR(__xludf.DUMMYFUNCTION("IMPORTRANGE(""https://docs.google.com/spreadsheets/d/1MeEWN-I1oV_STSDYn1IFDPWt_1FKiwhDph83XaGc0o0/edit?usp=sharing"",""งบพรบ!AE76"")"),39800)</f>
        <v>39800</v>
      </c>
      <c r="O61" s="52">
        <f t="shared" ca="1" si="32"/>
        <v>100</v>
      </c>
      <c r="P61" s="52">
        <f t="shared" ca="1" si="33"/>
        <v>63.375796178343947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795800</v>
      </c>
      <c r="M66" s="155">
        <f t="shared" ca="1" si="39"/>
        <v>1055800</v>
      </c>
      <c r="N66" s="155">
        <f t="shared" ca="1" si="39"/>
        <v>829001.2</v>
      </c>
      <c r="O66" s="155">
        <f t="shared" ref="O66:O74" ca="1" si="40">IF(L66&gt;0,N66*100/L66,0)</f>
        <v>104.17205327971853</v>
      </c>
      <c r="P66" s="155">
        <f t="shared" ref="P66:P74" ca="1" si="41">IF(M66&gt;0,N66*100/M66,0)</f>
        <v>78.518772494790682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795800</v>
      </c>
      <c r="M68" s="93">
        <f t="shared" ca="1" si="42"/>
        <v>1055800</v>
      </c>
      <c r="N68" s="93">
        <f t="shared" ca="1" si="42"/>
        <v>829001.2</v>
      </c>
      <c r="O68" s="93">
        <f t="shared" ca="1" si="40"/>
        <v>104.17205327971853</v>
      </c>
      <c r="P68" s="93">
        <f t="shared" ca="1" si="41"/>
        <v>78.518772494790682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795800</v>
      </c>
      <c r="M69" s="498">
        <f t="shared" ca="1" si="43"/>
        <v>1055800</v>
      </c>
      <c r="N69" s="498">
        <f t="shared" ca="1" si="43"/>
        <v>829001.2</v>
      </c>
      <c r="O69" s="498">
        <f t="shared" ca="1" si="40"/>
        <v>104.17205327971853</v>
      </c>
      <c r="P69" s="498">
        <f t="shared" ca="1" si="41"/>
        <v>78.518772494790682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IFERROR(__xludf.DUMMYFUNCTION("IMPORTRANGE(""https://docs.google.com/spreadsheets/d/1MeEWN-I1oV_STSDYn1IFDPWt_1FKiwhDph83XaGc0o0/edit?usp=sharing"",""งบพรบ!AG76"")"),795800)</f>
        <v>795800</v>
      </c>
      <c r="M71" s="93">
        <f ca="1">IFERROR(__xludf.DUMMYFUNCTION("IMPORTRANGE(""https://docs.google.com/spreadsheets/d/1MeEWN-I1oV_STSDYn1IFDPWt_1FKiwhDph83XaGc0o0/edit?usp=sharing"",""งบพรบ!AL76"")"),1055800)</f>
        <v>1055800</v>
      </c>
      <c r="N71" s="93">
        <f ca="1">IFERROR(__xludf.DUMMYFUNCTION("IMPORTRANGE(""https://docs.google.com/spreadsheets/d/1MeEWN-I1oV_STSDYn1IFDPWt_1FKiwhDph83XaGc0o0/edit?usp=sharing"",""งบพรบ!AN76"")"),829001.2)</f>
        <v>829001.2</v>
      </c>
      <c r="O71" s="93">
        <f t="shared" ca="1" si="40"/>
        <v>104.17205327971853</v>
      </c>
      <c r="P71" s="93">
        <f t="shared" ca="1" si="41"/>
        <v>78.518772494790682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IFERROR(__xludf.DUMMYFUNCTION("IMPORTRANGE(""https://docs.google.com/spreadsheets/d/1MeEWN-I1oV_STSDYn1IFDPWt_1FKiwhDph83XaGc0o0/edit?usp=sharing"",""งบพรบ!AJ76"")"),0)</f>
        <v>0</v>
      </c>
      <c r="M74" s="93">
        <f ca="1">IFERROR(__xludf.DUMMYFUNCTION("IMPORTRANGE(""https://docs.google.com/spreadsheets/d/1MeEWN-I1oV_STSDYn1IFDPWt_1FKiwhDph83XaGc0o0/edit?usp=sharing"",""งบพรบ!AM76"")"),0)</f>
        <v>0</v>
      </c>
      <c r="N74" s="93">
        <f ca="1">IFERROR(__xludf.DUMMYFUNCTION("IMPORTRANGE(""https://docs.google.com/spreadsheets/d/1MeEWN-I1oV_STSDYn1IFDPWt_1FKiwhDph83XaGc0o0/edit?usp=sharing"",""งบพรบ!AO76"")"),0)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IFERROR(__xludf.DUMMYFUNCTION("IMPORTRANGE(""https://docs.google.com/spreadsheets/d/1QqKyyYR6Q21VydFLVH3TRQUabQu_ym0Zz7PgGX0-kHA/edit?usp=sharing"",""แผน!H76"")"),1)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IFERROR(__xludf.DUMMYFUNCTION("IMPORTRANGE(""https://docs.google.com/spreadsheets/d/1QqKyyYR6Q21VydFLVH3TRQUabQu_ym0Zz7PgGX0-kHA/edit?usp=sharing"",""แผน!I76"")"),30)</f>
        <v>30</v>
      </c>
      <c r="J79" s="215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IFERROR(__xludf.DUMMYFUNCTION("IMPORTRANGE(""https://docs.google.com/spreadsheets/d/1QqKyyYR6Q21VydFLVH3TRQUabQu_ym0Zz7PgGX0-kHA/edit?usp=sharing"",""แผน!J76"")"),1)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31200</v>
      </c>
      <c r="M88" s="155">
        <f t="shared" ca="1" si="49"/>
        <v>31200</v>
      </c>
      <c r="N88" s="155">
        <f t="shared" ca="1" si="49"/>
        <v>28135</v>
      </c>
      <c r="O88" s="155">
        <f t="shared" ref="O88:O96" ca="1" si="50">IF(L88&gt;0,N88*100/L88,0)</f>
        <v>90.176282051282058</v>
      </c>
      <c r="P88" s="155">
        <f t="shared" ref="P88:P96" ca="1" si="51">IF(M88&gt;0,N88*100/M88,0)</f>
        <v>90.176282051282058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31200</v>
      </c>
      <c r="M90" s="93">
        <f t="shared" ca="1" si="52"/>
        <v>31200</v>
      </c>
      <c r="N90" s="93">
        <f t="shared" ca="1" si="52"/>
        <v>28135</v>
      </c>
      <c r="O90" s="93">
        <f t="shared" ca="1" si="50"/>
        <v>90.176282051282058</v>
      </c>
      <c r="P90" s="93">
        <f t="shared" ca="1" si="51"/>
        <v>90.176282051282058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31200</v>
      </c>
      <c r="M91" s="498">
        <f t="shared" ca="1" si="53"/>
        <v>31200</v>
      </c>
      <c r="N91" s="498">
        <f t="shared" ca="1" si="53"/>
        <v>28135</v>
      </c>
      <c r="O91" s="498">
        <f t="shared" ca="1" si="50"/>
        <v>90.176282051282058</v>
      </c>
      <c r="P91" s="498">
        <f t="shared" ca="1" si="51"/>
        <v>90.176282051282058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IFERROR(__xludf.DUMMYFUNCTION("IMPORTRANGE(""https://docs.google.com/spreadsheets/d/1MeEWN-I1oV_STSDYn1IFDPWt_1FKiwhDph83XaGc0o0/edit?usp=sharing"",""งบพรบ!AQ76"")"),31200)</f>
        <v>31200</v>
      </c>
      <c r="M93" s="93">
        <f ca="1">IFERROR(__xludf.DUMMYFUNCTION("IMPORTRANGE(""https://docs.google.com/spreadsheets/d/1MeEWN-I1oV_STSDYn1IFDPWt_1FKiwhDph83XaGc0o0/edit?usp=sharing"",""งบพรบ!AV76"")"),31200)</f>
        <v>31200</v>
      </c>
      <c r="N93" s="93">
        <f ca="1">IFERROR(__xludf.DUMMYFUNCTION("IMPORTRANGE(""https://docs.google.com/spreadsheets/d/1MeEWN-I1oV_STSDYn1IFDPWt_1FKiwhDph83XaGc0o0/edit?usp=sharing"",""งบพรบ!AX76"")"),28135)</f>
        <v>28135</v>
      </c>
      <c r="O93" s="93">
        <f t="shared" ca="1" si="50"/>
        <v>90.176282051282058</v>
      </c>
      <c r="P93" s="93">
        <f t="shared" ca="1" si="51"/>
        <v>90.176282051282058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IFERROR(__xludf.DUMMYFUNCTION("IMPORTRANGE(""https://docs.google.com/spreadsheets/d/1MeEWN-I1oV_STSDYn1IFDPWt_1FKiwhDph83XaGc0o0/edit?usp=sharing"",""งบพรบ!AT76"")"),0)</f>
        <v>0</v>
      </c>
      <c r="M96" s="93">
        <f ca="1">IFERROR(__xludf.DUMMYFUNCTION("IMPORTRANGE(""https://docs.google.com/spreadsheets/d/1MeEWN-I1oV_STSDYn1IFDPWt_1FKiwhDph83XaGc0o0/edit?usp=sharing"",""งบพรบ!AW76"")"),0)</f>
        <v>0</v>
      </c>
      <c r="N96" s="93">
        <f ca="1">IFERROR(__xludf.DUMMYFUNCTION("IMPORTRANGE(""https://docs.google.com/spreadsheets/d/1MeEWN-I1oV_STSDYn1IFDPWt_1FKiwhDph83XaGc0o0/edit?usp=sharing"",""งบพรบ!AY76"")"),0)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IFERROR(__xludf.DUMMYFUNCTION("IMPORTRANGE(""https://docs.google.com/spreadsheets/d/1QqKyyYR6Q21VydFLVH3TRQUabQu_ym0Zz7PgGX0-kHA/edit?usp=sharing"",""แผน!K76"")"),0)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IFERROR(__xludf.DUMMYFUNCTION("IMPORTRANGE(""https://docs.google.com/spreadsheets/d/1QqKyyYR6Q21VydFLVH3TRQUabQu_ym0Zz7PgGX0-kHA/edit?usp=sharing"",""แผน!L76"")"),0)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IFERROR(__xludf.DUMMYFUNCTION("IMPORTRANGE(""https://docs.google.com/spreadsheets/d/1QqKyyYR6Q21VydFLVH3TRQUabQu_ym0Zz7PgGX0-kHA/edit?usp=sharing"",""แผน!M76"")"),1)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IFERROR(__xludf.DUMMYFUNCTION("IMPORTRANGE(""https://docs.google.com/spreadsheets/d/1QqKyyYR6Q21VydFLVH3TRQUabQu_ym0Zz7PgGX0-kHA/edit?usp=sharing"",""แผน!N76"")"),0)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IFERROR(__xludf.DUMMYFUNCTION("IMPORTRANGE(""https://docs.google.com/spreadsheets/d/1QqKyyYR6Q21VydFLVH3TRQUabQu_ym0Zz7PgGX0-kHA/edit?usp=sharing"",""แผน!O76"")"),0)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IFERROR(__xludf.DUMMYFUNCTION("IMPORTRANGE(""https://docs.google.com/spreadsheets/d/1QqKyyYR6Q21VydFLVH3TRQUabQu_ym0Zz7PgGX0-kHA/edit?usp=sharing"",""แผน!O76"")"),0)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IFERROR(__xludf.DUMMYFUNCTION("IMPORTRANGE(""https://docs.google.com/spreadsheets/d/1QqKyyYR6Q21VydFLVH3TRQUabQu_ym0Zz7PgGX0-kHA/edit?usp=sharing"",""แผน!P76"")"),1)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IFERROR(__xludf.DUMMYFUNCTION("IMPORTRANGE(""https://docs.google.com/spreadsheets/d/1QqKyyYR6Q21VydFLVH3TRQUabQu_ym0Zz7PgGX0-kHA/edit?usp=sharing"",""แผน!P76"")"),1)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IFERROR(__xludf.DUMMYFUNCTION("IMPORTRANGE(""https://docs.google.com/spreadsheets/d/1QqKyyYR6Q21VydFLVH3TRQUabQu_ym0Zz7PgGX0-kHA/edit?usp=sharing"",""แผน!Q76"")"),0)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IFERROR(__xludf.DUMMYFUNCTION("IMPORTRANGE(""https://docs.google.com/spreadsheets/d/1QqKyyYR6Q21VydFLVH3TRQUabQu_ym0Zz7PgGX0-kHA/edit?usp=sharing"",""แผน!Q76"")"),0)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IFERROR(__xludf.DUMMYFUNCTION("IMPORTRANGE(""https://docs.google.com/spreadsheets/d/1QqKyyYR6Q21VydFLVH3TRQUabQu_ym0Zz7PgGX0-kHA/edit?usp=sharing"",""แผน!R76"")"),0)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1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IFERROR(__xludf.DUMMYFUNCTION("IMPORTRANGE(""https://docs.google.com/spreadsheets/d/1QqKyyYR6Q21VydFLVH3TRQUabQu_ym0Zz7PgGX0-kHA/edit?usp=sharing"",""แผน!R76"")"),0)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IFERROR(__xludf.DUMMYFUNCTION("IMPORTRANGE(""https://docs.google.com/spreadsheets/d/1QqKyyYR6Q21VydFLVH3TRQUabQu_ym0Zz7PgGX0-kHA/edit?usp=sharing"",""แผน!R76"")"),0)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IFERROR(__xludf.DUMMYFUNCTION("IMPORTRANGE(""https://docs.google.com/spreadsheets/d/1QqKyyYR6Q21VydFLVH3TRQUabQu_ym0Zz7PgGX0-kHA/edit?usp=sharing"",""แผน!S76"")"),1)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IFERROR(__xludf.DUMMYFUNCTION("IMPORTRANGE(""https://docs.google.com/spreadsheets/d/1QqKyyYR6Q21VydFLVH3TRQUabQu_ym0Zz7PgGX0-kHA/edit?usp=sharing"",""แผน!T76"")"),0)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IFERROR(__xludf.DUMMYFUNCTION("IMPORTRANGE(""https://docs.google.com/spreadsheets/d/1MeEWN-I1oV_STSDYn1IFDPWt_1FKiwhDph83XaGc0o0/edit?usp=sharing"",""งบพรบ!BA76"")"),0)</f>
        <v>0</v>
      </c>
      <c r="M124" s="93">
        <f ca="1">IFERROR(__xludf.DUMMYFUNCTION("IMPORTRANGE(""https://docs.google.com/spreadsheets/d/1MeEWN-I1oV_STSDYn1IFDPWt_1FKiwhDph83XaGc0o0/edit?usp=sharing"",""งบพรบ!BF76"")"),0)</f>
        <v>0</v>
      </c>
      <c r="N124" s="93">
        <f ca="1">IFERROR(__xludf.DUMMYFUNCTION("IMPORTRANGE(""https://docs.google.com/spreadsheets/d/1MeEWN-I1oV_STSDYn1IFDPWt_1FKiwhDph83XaGc0o0/edit?usp=sharing"",""งบพรบ!BH76"")"),0)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IFERROR(__xludf.DUMMYFUNCTION("IMPORTRANGE(""https://docs.google.com/spreadsheets/d/1MeEWN-I1oV_STSDYn1IFDPWt_1FKiwhDph83XaGc0o0/edit?usp=sharing"",""งบพรบ!BD76"")"),0)</f>
        <v>0</v>
      </c>
      <c r="M127" s="93">
        <f ca="1">IFERROR(__xludf.DUMMYFUNCTION("IMPORTRANGE(""https://docs.google.com/spreadsheets/d/1MeEWN-I1oV_STSDYn1IFDPWt_1FKiwhDph83XaGc0o0/edit?usp=sharing"",""งบพรบ!BG76"")"),0)</f>
        <v>0</v>
      </c>
      <c r="N127" s="93">
        <f ca="1">IFERROR(__xludf.DUMMYFUNCTION("IMPORTRANGE(""https://docs.google.com/spreadsheets/d/1MeEWN-I1oV_STSDYn1IFDPWt_1FKiwhDph83XaGc0o0/edit?usp=sharing"",""งบพรบ!BI76"")"),0)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151655</v>
      </c>
      <c r="M132" s="155">
        <f t="shared" ca="1" si="69"/>
        <v>151655</v>
      </c>
      <c r="N132" s="155">
        <f t="shared" ca="1" si="69"/>
        <v>125625</v>
      </c>
      <c r="O132" s="155">
        <f t="shared" ref="O132:O140" ca="1" si="70">IF(L132&gt;0,N132*100/L132,0)</f>
        <v>82.836042332926709</v>
      </c>
      <c r="P132" s="155">
        <f t="shared" ref="P132:P140" ca="1" si="71">IF(M132&gt;0,N132*100/M132,0)</f>
        <v>82.836042332926709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151655</v>
      </c>
      <c r="M134" s="93">
        <f t="shared" ca="1" si="72"/>
        <v>151655</v>
      </c>
      <c r="N134" s="93">
        <f t="shared" ca="1" si="72"/>
        <v>125625</v>
      </c>
      <c r="O134" s="93">
        <f t="shared" ca="1" si="70"/>
        <v>82.836042332926709</v>
      </c>
      <c r="P134" s="93">
        <f t="shared" ca="1" si="71"/>
        <v>82.836042332926709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48655</v>
      </c>
      <c r="M135" s="498">
        <f t="shared" ca="1" si="73"/>
        <v>48655</v>
      </c>
      <c r="N135" s="498">
        <f t="shared" ca="1" si="73"/>
        <v>22625</v>
      </c>
      <c r="O135" s="498">
        <f t="shared" ca="1" si="70"/>
        <v>46.500873497071218</v>
      </c>
      <c r="P135" s="498">
        <f t="shared" ca="1" si="71"/>
        <v>46.500873497071218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IFERROR(__xludf.DUMMYFUNCTION("IMPORTRANGE(""https://docs.google.com/spreadsheets/d/1MeEWN-I1oV_STSDYn1IFDPWt_1FKiwhDph83XaGc0o0/edit?usp=sharing"",""งบพรบ!BK76"")"),48655)</f>
        <v>48655</v>
      </c>
      <c r="M137" s="93">
        <f ca="1">IFERROR(__xludf.DUMMYFUNCTION("IMPORTRANGE(""https://docs.google.com/spreadsheets/d/1MeEWN-I1oV_STSDYn1IFDPWt_1FKiwhDph83XaGc0o0/edit?usp=sharing"",""งบพรบ!BP76"")"),48655)</f>
        <v>48655</v>
      </c>
      <c r="N137" s="93">
        <f ca="1">IFERROR(__xludf.DUMMYFUNCTION("IMPORTRANGE(""https://docs.google.com/spreadsheets/d/1MeEWN-I1oV_STSDYn1IFDPWt_1FKiwhDph83XaGc0o0/edit?usp=sharing"",""งบพรบ!BR76"")"),22625)</f>
        <v>22625</v>
      </c>
      <c r="O137" s="93">
        <f t="shared" ca="1" si="70"/>
        <v>46.500873497071218</v>
      </c>
      <c r="P137" s="93">
        <f t="shared" ca="1" si="71"/>
        <v>46.500873497071218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103000</v>
      </c>
      <c r="M138" s="498">
        <f t="shared" ca="1" si="74"/>
        <v>103000</v>
      </c>
      <c r="N138" s="498">
        <f t="shared" ca="1" si="74"/>
        <v>103000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IFERROR(__xludf.DUMMYFUNCTION("IMPORTRANGE(""https://docs.google.com/spreadsheets/d/1MeEWN-I1oV_STSDYn1IFDPWt_1FKiwhDph83XaGc0o0/edit?usp=sharing"",""งบพรบ!BN76"")"),103000)</f>
        <v>103000</v>
      </c>
      <c r="M140" s="93">
        <f ca="1">IFERROR(__xludf.DUMMYFUNCTION("IMPORTRANGE(""https://docs.google.com/spreadsheets/d/1MeEWN-I1oV_STSDYn1IFDPWt_1FKiwhDph83XaGc0o0/edit?usp=sharing"",""งบพรบ!BQ76"")"),103000)</f>
        <v>103000</v>
      </c>
      <c r="N140" s="93">
        <f ca="1">IFERROR(__xludf.DUMMYFUNCTION("IMPORTRANGE(""https://docs.google.com/spreadsheets/d/1MeEWN-I1oV_STSDYn1IFDPWt_1FKiwhDph83XaGc0o0/edit?usp=sharing"",""งบพรบ!BS76"")"),103000)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IFERROR(__xludf.DUMMYFUNCTION("IMPORTRANGE(""https://docs.google.com/spreadsheets/d/1QqKyyYR6Q21VydFLVH3TRQUabQu_ym0Zz7PgGX0-kHA/edit?usp=sharing"",""แผน!U76"")"),5)</f>
        <v>5</v>
      </c>
      <c r="J144" s="215">
        <v>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IFERROR(__xludf.DUMMYFUNCTION("IMPORTRANGE(""https://docs.google.com/spreadsheets/d/1QqKyyYR6Q21VydFLVH3TRQUabQu_ym0Zz7PgGX0-kHA/edit?usp=sharing"",""แผน!V76"")"),10)</f>
        <v>10</v>
      </c>
      <c r="J145" s="215">
        <v>10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IFERROR(__xludf.DUMMYFUNCTION("IMPORTRANGE(""https://docs.google.com/spreadsheets/d/1QqKyyYR6Q21VydFLVH3TRQUabQu_ym0Zz7PgGX0-kHA/edit?usp=sharing"",""แผน!W76"")"),1)</f>
        <v>1</v>
      </c>
      <c r="J146" s="215">
        <v>1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21</v>
      </c>
      <c r="K148" s="145">
        <f ca="1">IF(I148&gt;0,J148*100/I148,0)</f>
        <v>105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4950</v>
      </c>
      <c r="O149" s="155">
        <f t="shared" ref="O149:O157" ca="1" si="78">IF(L149&gt;0,N149*100/L149,0)</f>
        <v>49.5</v>
      </c>
      <c r="P149" s="155">
        <f t="shared" ref="P149:P157" ca="1" si="79">IF(M149&gt;0,N149*100/M149,0)</f>
        <v>49.5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4950</v>
      </c>
      <c r="O151" s="93">
        <f t="shared" ca="1" si="78"/>
        <v>49.5</v>
      </c>
      <c r="P151" s="93">
        <f t="shared" ca="1" si="79"/>
        <v>49.5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10000</v>
      </c>
      <c r="N152" s="498">
        <f t="shared" ca="1" si="81"/>
        <v>4950</v>
      </c>
      <c r="O152" s="498">
        <f t="shared" ca="1" si="78"/>
        <v>49.5</v>
      </c>
      <c r="P152" s="498">
        <f t="shared" ca="1" si="79"/>
        <v>49.5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IFERROR(__xludf.DUMMYFUNCTION("IMPORTRANGE(""https://docs.google.com/spreadsheets/d/1MeEWN-I1oV_STSDYn1IFDPWt_1FKiwhDph83XaGc0o0/edit?usp=sharing"",""งบพรบ!BU76"")"),10000)</f>
        <v>10000</v>
      </c>
      <c r="M154" s="93">
        <f ca="1">IFERROR(__xludf.DUMMYFUNCTION("IMPORTRANGE(""https://docs.google.com/spreadsheets/d/1MeEWN-I1oV_STSDYn1IFDPWt_1FKiwhDph83XaGc0o0/edit?usp=sharing"",""งบพรบ!BZ76"")"),10000)</f>
        <v>10000</v>
      </c>
      <c r="N154" s="93">
        <f ca="1">IFERROR(__xludf.DUMMYFUNCTION("IMPORTRANGE(""https://docs.google.com/spreadsheets/d/1MeEWN-I1oV_STSDYn1IFDPWt_1FKiwhDph83XaGc0o0/edit?usp=sharing"",""งบพรบ!CB76"")"),4950)</f>
        <v>4950</v>
      </c>
      <c r="O154" s="93">
        <f t="shared" ca="1" si="78"/>
        <v>49.5</v>
      </c>
      <c r="P154" s="93">
        <f t="shared" ca="1" si="79"/>
        <v>49.5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IFERROR(__xludf.DUMMYFUNCTION("IMPORTRANGE(""https://docs.google.com/spreadsheets/d/1MeEWN-I1oV_STSDYn1IFDPWt_1FKiwhDph83XaGc0o0/edit?usp=sharing"",""งบพรบ!BX76"")"),0)</f>
        <v>0</v>
      </c>
      <c r="M157" s="93">
        <f ca="1">IFERROR(__xludf.DUMMYFUNCTION("IMPORTRANGE(""https://docs.google.com/spreadsheets/d/1MeEWN-I1oV_STSDYn1IFDPWt_1FKiwhDph83XaGc0o0/edit?usp=sharing"",""งบพรบ!CA76"")"),0)</f>
        <v>0</v>
      </c>
      <c r="N157" s="93">
        <f ca="1">IFERROR(__xludf.DUMMYFUNCTION("IMPORTRANGE(""https://docs.google.com/spreadsheets/d/1MeEWN-I1oV_STSDYn1IFDPWt_1FKiwhDph83XaGc0o0/edit?usp=sharing"",""งบพรบ!CC76"")"),0)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IFERROR(__xludf.DUMMYFUNCTION("IMPORTRANGE(""https://docs.google.com/spreadsheets/d/1QqKyyYR6Q21VydFLVH3TRQUabQu_ym0Zz7PgGX0-kHA/edit?usp=sharing"",""แผน!X76"")"),20)</f>
        <v>20</v>
      </c>
      <c r="J159" s="215">
        <v>21</v>
      </c>
      <c r="K159" s="498">
        <f ca="1">IF(I159&gt;0,J159*100/I159,0)</f>
        <v>105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65">
        <f t="shared" ref="I164:J164" ca="1" si="83">I174+I177</f>
        <v>0</v>
      </c>
      <c r="J164" s="865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0</v>
      </c>
      <c r="M168" s="498">
        <f t="shared" ca="1" si="88"/>
        <v>0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IFERROR(__xludf.DUMMYFUNCTION("IMPORTRANGE(""https://docs.google.com/spreadsheets/d/1MeEWN-I1oV_STSDYn1IFDPWt_1FKiwhDph83XaGc0o0/edit?usp=sharing"",""งบพรบ!CE76"")"),0)</f>
        <v>0</v>
      </c>
      <c r="M170" s="93">
        <f ca="1">IFERROR(__xludf.DUMMYFUNCTION("IMPORTRANGE(""https://docs.google.com/spreadsheets/d/1MeEWN-I1oV_STSDYn1IFDPWt_1FKiwhDph83XaGc0o0/edit?usp=sharing"",""งบพรบ!CJ76"")"),0)</f>
        <v>0</v>
      </c>
      <c r="N170" s="93">
        <f ca="1">IFERROR(__xludf.DUMMYFUNCTION("IMPORTRANGE(""https://docs.google.com/spreadsheets/d/1MeEWN-I1oV_STSDYn1IFDPWt_1FKiwhDph83XaGc0o0/edit?usp=sharing"",""งบพรบ!CL76"")"),0)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IFERROR(__xludf.DUMMYFUNCTION("IMPORTRANGE(""https://docs.google.com/spreadsheets/d/1MeEWN-I1oV_STSDYn1IFDPWt_1FKiwhDph83XaGc0o0/edit?usp=sharing"",""งบพรบ!CH76"")"),0)</f>
        <v>0</v>
      </c>
      <c r="M173" s="93">
        <f ca="1">IFERROR(__xludf.DUMMYFUNCTION("IMPORTRANGE(""https://docs.google.com/spreadsheets/d/1MeEWN-I1oV_STSDYn1IFDPWt_1FKiwhDph83XaGc0o0/edit?usp=sharing"",""งบพรบ!CK76"")"),0)</f>
        <v>0</v>
      </c>
      <c r="N173" s="93">
        <f ca="1">IFERROR(__xludf.DUMMYFUNCTION("IMPORTRANGE(""https://docs.google.com/spreadsheets/d/1MeEWN-I1oV_STSDYn1IFDPWt_1FKiwhDph83XaGc0o0/edit?usp=sharing"",""งบพรบ!CM76"")"),0)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IFERROR(__xludf.DUMMYFUNCTION("IMPORTRANGE(""https://docs.google.com/spreadsheets/d/1QqKyyYR6Q21VydFLVH3TRQUabQu_ym0Zz7PgGX0-kHA/edit?usp=sharing"",""แผน!Y76"")"),0)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64000</v>
      </c>
      <c r="M181" s="155">
        <f t="shared" ca="1" si="92"/>
        <v>91830</v>
      </c>
      <c r="N181" s="155">
        <f t="shared" ca="1" si="92"/>
        <v>70692</v>
      </c>
      <c r="O181" s="155">
        <f t="shared" ref="O181:O189" ca="1" si="93">IF(L181&gt;0,N181*100/L181,0)</f>
        <v>110.45625</v>
      </c>
      <c r="P181" s="155">
        <f t="shared" ref="P181:P189" ca="1" si="94">IF(M181&gt;0,N181*100/M181,0)</f>
        <v>76.981378634433199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64000</v>
      </c>
      <c r="M183" s="93">
        <f t="shared" ca="1" si="95"/>
        <v>91830</v>
      </c>
      <c r="N183" s="93">
        <f t="shared" ca="1" si="95"/>
        <v>70692</v>
      </c>
      <c r="O183" s="93">
        <f t="shared" ca="1" si="93"/>
        <v>110.45625</v>
      </c>
      <c r="P183" s="93">
        <f t="shared" ca="1" si="94"/>
        <v>76.981378634433199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64000</v>
      </c>
      <c r="M184" s="498">
        <f t="shared" ca="1" si="96"/>
        <v>91830</v>
      </c>
      <c r="N184" s="498">
        <f t="shared" ca="1" si="96"/>
        <v>70692</v>
      </c>
      <c r="O184" s="498">
        <f t="shared" ca="1" si="93"/>
        <v>110.45625</v>
      </c>
      <c r="P184" s="498">
        <f t="shared" ca="1" si="94"/>
        <v>76.981378634433199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IFERROR(__xludf.DUMMYFUNCTION("IMPORTRANGE(""https://docs.google.com/spreadsheets/d/1MeEWN-I1oV_STSDYn1IFDPWt_1FKiwhDph83XaGc0o0/edit?usp=sharing"",""งบพรบ!CO76"")"),64000)</f>
        <v>64000</v>
      </c>
      <c r="M186" s="93">
        <f ca="1">IFERROR(__xludf.DUMMYFUNCTION("IMPORTRANGE(""https://docs.google.com/spreadsheets/d/1MeEWN-I1oV_STSDYn1IFDPWt_1FKiwhDph83XaGc0o0/edit?usp=sharing"",""งบพรบ!CT76"")"),91830)</f>
        <v>91830</v>
      </c>
      <c r="N186" s="93">
        <f ca="1">IFERROR(__xludf.DUMMYFUNCTION("IMPORTRANGE(""https://docs.google.com/spreadsheets/d/1MeEWN-I1oV_STSDYn1IFDPWt_1FKiwhDph83XaGc0o0/edit?usp=sharing"",""งบพรบ!CV76"")"),70692)</f>
        <v>70692</v>
      </c>
      <c r="O186" s="93">
        <f t="shared" ca="1" si="93"/>
        <v>110.45625</v>
      </c>
      <c r="P186" s="93">
        <f t="shared" ca="1" si="94"/>
        <v>76.981378634433199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IFERROR(__xludf.DUMMYFUNCTION("IMPORTRANGE(""https://docs.google.com/spreadsheets/d/1MeEWN-I1oV_STSDYn1IFDPWt_1FKiwhDph83XaGc0o0/edit?usp=sharing"",""งบพรบ!CR76"")"),0)</f>
        <v>0</v>
      </c>
      <c r="M189" s="93">
        <f ca="1">IFERROR(__xludf.DUMMYFUNCTION("IMPORTRANGE(""https://docs.google.com/spreadsheets/d/1MeEWN-I1oV_STSDYn1IFDPWt_1FKiwhDph83XaGc0o0/edit?usp=sharing"",""งบพรบ!CU76"")"),0)</f>
        <v>0</v>
      </c>
      <c r="N189" s="93">
        <f ca="1">IFERROR(__xludf.DUMMYFUNCTION("IMPORTRANGE(""https://docs.google.com/spreadsheets/d/1MeEWN-I1oV_STSDYn1IFDPWt_1FKiwhDph83XaGc0o0/edit?usp=sharing"",""งบพรบ!CW76"")"),0)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IFERROR(__xludf.DUMMYFUNCTION("IMPORTRANGE(""https://docs.google.com/spreadsheets/d/1QqKyyYR6Q21VydFLVH3TRQUabQu_ym0Zz7PgGX0-kHA/edit?usp=sharing"",""แผน!Z76"")"),6000)</f>
        <v>6000</v>
      </c>
      <c r="M191" s="155"/>
      <c r="N191" s="276">
        <v>5050</v>
      </c>
      <c r="O191" s="155">
        <f ca="1">IF(L191&gt;0,N191*100/L191,0)</f>
        <v>84.166666666666671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IFERROR(__xludf.DUMMYFUNCTION("IMPORTRANGE(""https://docs.google.com/spreadsheets/d/1QqKyyYR6Q21VydFLVH3TRQUabQu_ym0Zz7PgGX0-kHA/edit?usp=sharing"",""แผน!AC76"")"),4)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24000</v>
      </c>
      <c r="O198" s="155">
        <f ca="1">IF(L198&gt;0,N198*100/L198,0)</f>
        <v>92.307692307692307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IFERROR(__xludf.DUMMYFUNCTION("IMPORTRANGE(""https://docs.google.com/spreadsheets/d/1QqKyyYR6Q21VydFLVH3TRQUabQu_ym0Zz7PgGX0-kHA/edit?usp=sharing"",""แผน!AE76"")"),2000)</f>
        <v>2000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IFERROR(__xludf.DUMMYFUNCTION("IMPORTRANGE(""https://docs.google.com/spreadsheets/d/1QqKyyYR6Q21VydFLVH3TRQUabQu_ym0Zz7PgGX0-kHA/edit?usp=sharing"",""แผน!AF76"")"),16000)</f>
        <v>16000</v>
      </c>
      <c r="M200" s="498"/>
      <c r="N200" s="826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IFERROR(__xludf.DUMMYFUNCTION("IMPORTRANGE(""https://docs.google.com/spreadsheets/d/1QqKyyYR6Q21VydFLVH3TRQUabQu_ym0Zz7PgGX0-kHA/edit?usp=sharing"",""แผน!AG76"")"),8000)</f>
        <v>8000</v>
      </c>
      <c r="M201" s="498"/>
      <c r="N201" s="826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IFERROR(__xludf.DUMMYFUNCTION("IMPORTRANGE(""https://docs.google.com/spreadsheets/d/1QqKyyYR6Q21VydFLVH3TRQUabQu_ym0Zz7PgGX0-kHA/edit?usp=sharing"",""แผน!AH76"")"),0)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IFERROR(__xludf.DUMMYFUNCTION("IMPORTRANGE(""https://docs.google.com/spreadsheets/d/1QqKyyYR6Q21VydFLVH3TRQUabQu_ym0Zz7PgGX0-kHA/edit?usp=sharing"",""แผน!AI76"")"),2)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IFERROR(__xludf.DUMMYFUNCTION("IMPORTRANGE(""https://docs.google.com/spreadsheets/d/1QqKyyYR6Q21VydFLVH3TRQUabQu_ym0Zz7PgGX0-kHA/edit?usp=sharing"",""แผน!AK76"")"),1000)</f>
        <v>1000</v>
      </c>
      <c r="M210" s="498"/>
      <c r="N210" s="826">
        <v>1000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IFERROR(__xludf.DUMMYFUNCTION("IMPORTRANGE(""https://docs.google.com/spreadsheets/d/1QqKyyYR6Q21VydFLVH3TRQUabQu_ym0Zz7PgGX0-kHA/edit?usp=sharing"",""แผน!AL76"")"),5000)</f>
        <v>5000</v>
      </c>
      <c r="M211" s="498"/>
      <c r="N211" s="826">
        <v>5000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IFERROR(__xludf.DUMMYFUNCTION("IMPORTRANGE(""https://docs.google.com/spreadsheets/d/1QqKyyYR6Q21VydFLVH3TRQUabQu_ym0Zz7PgGX0-kHA/edit?usp=sharing"",""แผน!AM76"")"),8000)</f>
        <v>8000</v>
      </c>
      <c r="M212" s="498"/>
      <c r="N212" s="826">
        <v>8000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IFERROR(__xludf.DUMMYFUNCTION("IMPORTRANGE(""https://docs.google.com/spreadsheets/d/1QqKyyYR6Q21VydFLVH3TRQUabQu_ym0Zz7PgGX0-kHA/edit?usp=sharing"",""แผน!AN76"")"),1)</f>
        <v>1</v>
      </c>
      <c r="J214" s="215">
        <v>1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IFERROR(__xludf.DUMMYFUNCTION("IMPORTRANGE(""https://docs.google.com/spreadsheets/d/1QqKyyYR6Q21VydFLVH3TRQUabQu_ym0Zz7PgGX0-kHA/edit?usp=sharing"",""แผน!AN76"")"),1)</f>
        <v>1</v>
      </c>
      <c r="J215" s="215">
        <v>1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20000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18000</v>
      </c>
      <c r="M217" s="155"/>
      <c r="N217" s="155">
        <f>N218+N219+N220</f>
        <v>8390</v>
      </c>
      <c r="O217" s="155">
        <f ca="1">IF(L217&gt;0,N217*100/L217,0)</f>
        <v>46.611111111111114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IFERROR(__xludf.DUMMYFUNCTION("IMPORTRANGE(""https://docs.google.com/spreadsheets/d/1QqKyyYR6Q21VydFLVH3TRQUabQu_ym0Zz7PgGX0-kHA/edit?usp=sharing"",""แผน!AP76"")"),3000)</f>
        <v>3000</v>
      </c>
      <c r="M218" s="498"/>
      <c r="N218" s="826">
        <v>1030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IFERROR(__xludf.DUMMYFUNCTION("IMPORTRANGE(""https://docs.google.com/spreadsheets/d/1QqKyyYR6Q21VydFLVH3TRQUabQu_ym0Zz7PgGX0-kHA/edit?usp=sharing"",""แผน!AQ76"")"),5000)</f>
        <v>5000</v>
      </c>
      <c r="M219" s="498"/>
      <c r="N219" s="826"/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IFERROR(__xludf.DUMMYFUNCTION("IMPORTRANGE(""https://docs.google.com/spreadsheets/d/1QqKyyYR6Q21VydFLVH3TRQUabQu_ym0Zz7PgGX0-kHA/edit?usp=sharing"",""แผน!AR76"")"),10000)</f>
        <v>10000</v>
      </c>
      <c r="M220" s="498"/>
      <c r="N220" s="826">
        <v>7360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IFERROR(__xludf.DUMMYFUNCTION("IMPORTRANGE(""https://docs.google.com/spreadsheets/d/1QqKyyYR6Q21VydFLVH3TRQUabQu_ym0Zz7PgGX0-kHA/edit?usp=sharing"",""แผน!AT76"")"),20000)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IFERROR(__xludf.DUMMYFUNCTION("IMPORTRANGE(""https://docs.google.com/spreadsheets/d/1QqKyyYR6Q21VydFLVH3TRQUabQu_ym0Zz7PgGX0-kHA/edit?usp=sharing"",""แผน!AT76"")"),20000)</f>
        <v>20000</v>
      </c>
      <c r="J224" s="215">
        <v>20000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IFERROR(__xludf.DUMMYFUNCTION("IMPORTRANGE(""https://docs.google.com/spreadsheets/d/1QqKyyYR6Q21VydFLVH3TRQUabQu_ym0Zz7PgGX0-kHA/edit?usp=sharing"",""แผน!AS76"")"),10)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IFERROR(__xludf.DUMMYFUNCTION("IMPORTRANGE(""https://docs.google.com/spreadsheets/d/1QqKyyYR6Q21VydFLVH3TRQUabQu_ym0Zz7PgGX0-kHA/edit?usp=sharing"",""แผน!AV76"")"),0)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IFERROR(__xludf.DUMMYFUNCTION("IMPORTRANGE(""https://docs.google.com/spreadsheets/d/1QqKyyYR6Q21VydFLVH3TRQUabQu_ym0Zz7PgGX0-kHA/edit?usp=sharing"",""แผน!AW76"")"),0)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IFERROR(__xludf.DUMMYFUNCTION("IMPORTRANGE(""https://docs.google.com/spreadsheets/d/1QqKyyYR6Q21VydFLVH3TRQUabQu_ym0Zz7PgGX0-kHA/edit?usp=sharing"",""แผน!AX76"")"),0)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IFERROR(__xludf.DUMMYFUNCTION("IMPORTRANGE(""https://docs.google.com/spreadsheets/d/1QqKyyYR6Q21VydFLVH3TRQUabQu_ym0Zz7PgGX0-kHA/edit?usp=sharing"",""แผน!AY76"")"),0)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IFERROR(__xludf.DUMMYFUNCTION("IMPORTRANGE(""https://docs.google.com/spreadsheets/d/1QqKyyYR6Q21VydFLVH3TRQUabQu_ym0Zz7PgGX0-kHA/edit?usp=sharing"",""แผน!BE76"")"),0)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IFERROR(__xludf.DUMMYFUNCTION("IMPORTRANGE(""https://docs.google.com/spreadsheets/d/1QqKyyYR6Q21VydFLVH3TRQUabQu_ym0Zz7PgGX0-kHA/edit?usp=sharing"",""แผน!AZ76"")"),0)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IFERROR(__xludf.DUMMYFUNCTION("IMPORTRANGE(""https://docs.google.com/spreadsheets/d/1QqKyyYR6Q21VydFLVH3TRQUabQu_ym0Zz7PgGX0-kHA/edit?usp=sharing"",""แผน!BA76"")"),0)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IFERROR(__xludf.DUMMYFUNCTION("IMPORTRANGE(""https://docs.google.com/spreadsheets/d/1QqKyyYR6Q21VydFLVH3TRQUabQu_ym0Zz7PgGX0-kHA/edit?usp=sharing"",""แผน!BB76"")"),0)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IFERROR(__xludf.DUMMYFUNCTION("IMPORTRANGE(""https://docs.google.com/spreadsheets/d/1QqKyyYR6Q21VydFLVH3TRQUabQu_ym0Zz7PgGX0-kHA/edit?usp=sharing"",""แผน!BC76"")"),0)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IFERROR(__xludf.DUMMYFUNCTION("IMPORTRANGE(""https://docs.google.com/spreadsheets/d/1QqKyyYR6Q21VydFLVH3TRQUabQu_ym0Zz7PgGX0-kHA/edit?usp=sharing"",""แผน!BF76"")"),0)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28800</v>
      </c>
      <c r="M261" s="155">
        <f t="shared" ca="1" si="116"/>
        <v>28800</v>
      </c>
      <c r="N261" s="155">
        <f t="shared" ca="1" si="116"/>
        <v>19880</v>
      </c>
      <c r="O261" s="155">
        <f t="shared" ref="O261:O269" ca="1" si="117">IF(L261&gt;0,N261*100/L261,0)</f>
        <v>69.027777777777771</v>
      </c>
      <c r="P261" s="155">
        <f t="shared" ref="P261:P269" ca="1" si="118">IF(M261&gt;0,N261*100/M261,0)</f>
        <v>69.027777777777771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28800</v>
      </c>
      <c r="M263" s="93">
        <f t="shared" ca="1" si="119"/>
        <v>28800</v>
      </c>
      <c r="N263" s="93">
        <f t="shared" ca="1" si="119"/>
        <v>19880</v>
      </c>
      <c r="O263" s="93">
        <f t="shared" ca="1" si="117"/>
        <v>69.027777777777771</v>
      </c>
      <c r="P263" s="93">
        <f t="shared" ca="1" si="118"/>
        <v>69.027777777777771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28800</v>
      </c>
      <c r="M264" s="498">
        <f t="shared" ca="1" si="120"/>
        <v>28800</v>
      </c>
      <c r="N264" s="498">
        <f t="shared" ca="1" si="120"/>
        <v>19880</v>
      </c>
      <c r="O264" s="498">
        <f t="shared" ca="1" si="117"/>
        <v>69.027777777777771</v>
      </c>
      <c r="P264" s="498">
        <f t="shared" ca="1" si="118"/>
        <v>69.027777777777771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IFERROR(__xludf.DUMMYFUNCTION("IMPORTRANGE(""https://docs.google.com/spreadsheets/d/1MeEWN-I1oV_STSDYn1IFDPWt_1FKiwhDph83XaGc0o0/edit?usp=sharing"",""งบพรบ!CY76"")"),28800)</f>
        <v>28800</v>
      </c>
      <c r="M266" s="93">
        <f ca="1">IFERROR(__xludf.DUMMYFUNCTION("IMPORTRANGE(""https://docs.google.com/spreadsheets/d/1MeEWN-I1oV_STSDYn1IFDPWt_1FKiwhDph83XaGc0o0/edit?usp=sharing"",""งบพรบ!DD76"")"),28800)</f>
        <v>28800</v>
      </c>
      <c r="N266" s="93">
        <f ca="1">IFERROR(__xludf.DUMMYFUNCTION("IMPORTRANGE(""https://docs.google.com/spreadsheets/d/1MeEWN-I1oV_STSDYn1IFDPWt_1FKiwhDph83XaGc0o0/edit?usp=sharing"",""งบพรบ!DF76"")"),19880)</f>
        <v>19880</v>
      </c>
      <c r="O266" s="93">
        <f t="shared" ca="1" si="117"/>
        <v>69.027777777777771</v>
      </c>
      <c r="P266" s="93">
        <f t="shared" ca="1" si="118"/>
        <v>69.027777777777771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IFERROR(__xludf.DUMMYFUNCTION("IMPORTRANGE(""https://docs.google.com/spreadsheets/d/1MeEWN-I1oV_STSDYn1IFDPWt_1FKiwhDph83XaGc0o0/edit?usp=sharing"",""งบพรบ!DB76"")"),0)</f>
        <v>0</v>
      </c>
      <c r="M269" s="93">
        <f ca="1">IFERROR(__xludf.DUMMYFUNCTION("IMPORTRANGE(""https://docs.google.com/spreadsheets/d/1MeEWN-I1oV_STSDYn1IFDPWt_1FKiwhDph83XaGc0o0/edit?usp=sharing"",""งบพรบ!DE76"")"),0)</f>
        <v>0</v>
      </c>
      <c r="N269" s="93">
        <f ca="1">IFERROR(__xludf.DUMMYFUNCTION("IMPORTRANGE(""https://docs.google.com/spreadsheets/d/1MeEWN-I1oV_STSDYn1IFDPWt_1FKiwhDph83XaGc0o0/edit?usp=sharing"",""งบพรบ!DG76"")"),0)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IFERROR(__xludf.DUMMYFUNCTION("IMPORTRANGE(""https://docs.google.com/spreadsheets/d/1QqKyyYR6Q21VydFLVH3TRQUabQu_ym0Zz7PgGX0-kHA/edit?usp=sharing"",""แผน!EA76"")"),24)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50</v>
      </c>
      <c r="J276" s="410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5120</v>
      </c>
      <c r="O277" s="155">
        <f t="shared" ref="O277:O285" ca="1" si="126">IF(L277&gt;0,N277*100/L277,0)</f>
        <v>22.624834290764472</v>
      </c>
      <c r="P277" s="155">
        <f t="shared" ref="P277:P285" ca="1" si="127">IF(M277&gt;0,N277*100/M277,0)</f>
        <v>22.624834290764472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5120</v>
      </c>
      <c r="O279" s="93">
        <f t="shared" ca="1" si="126"/>
        <v>22.624834290764472</v>
      </c>
      <c r="P279" s="93">
        <f t="shared" ca="1" si="127"/>
        <v>22.624834290764472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22630</v>
      </c>
      <c r="M280" s="498">
        <f t="shared" ca="1" si="129"/>
        <v>22630</v>
      </c>
      <c r="N280" s="498">
        <f t="shared" ca="1" si="129"/>
        <v>5120</v>
      </c>
      <c r="O280" s="498">
        <f t="shared" ca="1" si="126"/>
        <v>22.624834290764472</v>
      </c>
      <c r="P280" s="498">
        <f t="shared" ca="1" si="127"/>
        <v>22.624834290764472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IFERROR(__xludf.DUMMYFUNCTION("IMPORTRANGE(""https://docs.google.com/spreadsheets/d/1MeEWN-I1oV_STSDYn1IFDPWt_1FKiwhDph83XaGc0o0/edit?usp=sharing"",""งบพรบ!DI76"")"),22630)</f>
        <v>22630</v>
      </c>
      <c r="M282" s="93">
        <f ca="1">IFERROR(__xludf.DUMMYFUNCTION("IMPORTRANGE(""https://docs.google.com/spreadsheets/d/1MeEWN-I1oV_STSDYn1IFDPWt_1FKiwhDph83XaGc0o0/edit?usp=sharing"",""งบพรบ!DN76"")"),22630)</f>
        <v>22630</v>
      </c>
      <c r="N282" s="93">
        <f ca="1">IFERROR(__xludf.DUMMYFUNCTION("IMPORTRANGE(""https://docs.google.com/spreadsheets/d/1MeEWN-I1oV_STSDYn1IFDPWt_1FKiwhDph83XaGc0o0/edit?usp=sharing"",""งบพรบ!DP76"")"),5120)</f>
        <v>5120</v>
      </c>
      <c r="O282" s="93">
        <f t="shared" ca="1" si="126"/>
        <v>22.624834290764472</v>
      </c>
      <c r="P282" s="93">
        <f t="shared" ca="1" si="127"/>
        <v>22.624834290764472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IFERROR(__xludf.DUMMYFUNCTION("IMPORTRANGE(""https://docs.google.com/spreadsheets/d/1MeEWN-I1oV_STSDYn1IFDPWt_1FKiwhDph83XaGc0o0/edit?usp=sharing"",""งบพรบ!DL76"")"),0)</f>
        <v>0</v>
      </c>
      <c r="M285" s="93">
        <f ca="1">IFERROR(__xludf.DUMMYFUNCTION("IMPORTRANGE(""https://docs.google.com/spreadsheets/d/1MeEWN-I1oV_STSDYn1IFDPWt_1FKiwhDph83XaGc0o0/edit?usp=sharing"",""งบพรบ!DO76"")"),0)</f>
        <v>0</v>
      </c>
      <c r="N285" s="93">
        <f ca="1">IFERROR(__xludf.DUMMYFUNCTION("IMPORTRANGE(""https://docs.google.com/spreadsheets/d/1MeEWN-I1oV_STSDYn1IFDPWt_1FKiwhDph83XaGc0o0/edit?usp=sharing"",""งบพรบ!DQ76"")"),0)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IFERROR(__xludf.DUMMYFUNCTION("IMPORTRANGE(""https://docs.google.com/spreadsheets/d/1QqKyyYR6Q21VydFLVH3TRQUabQu_ym0Zz7PgGX0-kHA/edit?usp=sharing"",""แผน!EC76"")"),50)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IFERROR(__xludf.DUMMYFUNCTION("IMPORTRANGE(""https://docs.google.com/spreadsheets/d/1QqKyyYR6Q21VydFLVH3TRQUabQu_ym0Zz7PgGX0-kHA/edit?usp=sharing"",""แผน!EB76"")"),5)</f>
        <v>5</v>
      </c>
      <c r="J288" s="680">
        <f ca="1">IF(AND(J291&gt;=I288,J294&gt;=I288),J294,0)</f>
        <v>5</v>
      </c>
      <c r="K288" s="412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IFERROR(__xludf.DUMMYFUNCTION("IMPORTRANGE(""https://docs.google.com/spreadsheets/d/1QqKyyYR6Q21VydFLVH3TRQUabQu_ym0Zz7PgGX0-kHA/edit?usp=sharing"",""แผน!EB76"")"),5)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5" t="s">
        <v>133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IFERROR(__xludf.DUMMYFUNCTION("IMPORTRANGE(""https://docs.google.com/spreadsheets/d/1QqKyyYR6Q21VydFLVH3TRQUabQu_ym0Zz7PgGX0-kHA/edit?usp=sharing"",""แผน!EB76"")"),5)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IFERROR(__xludf.DUMMYFUNCTION("IMPORTRANGE(""https://docs.google.com/spreadsheets/d/1QqKyyYR6Q21VydFLVH3TRQUabQu_ym0Zz7PgGX0-kHA/edit?usp=sharing"",""แผน!EB76"")"),5)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3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IFERROR(__xludf.DUMMYFUNCTION("IMPORTRANGE(""https://docs.google.com/spreadsheets/d/1QqKyyYR6Q21VydFLVH3TRQUabQu_ym0Zz7PgGX0-kHA/edit?usp=sharing"",""แผน!EB76"")"),5)</f>
        <v>5</v>
      </c>
      <c r="J294" s="425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33300</v>
      </c>
      <c r="O298" s="155">
        <f t="shared" ref="O298:O306" ca="1" si="136">IF(L298&gt;0,N298*100/L298,0)</f>
        <v>40.412621359223301</v>
      </c>
      <c r="P298" s="155">
        <f t="shared" ref="P298:P306" ca="1" si="137">IF(M298&gt;0,N298*100/M298,0)</f>
        <v>40.412621359223301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33300</v>
      </c>
      <c r="O300" s="93">
        <f t="shared" ca="1" si="136"/>
        <v>40.412621359223301</v>
      </c>
      <c r="P300" s="93">
        <f t="shared" ca="1" si="137"/>
        <v>40.412621359223301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33300</v>
      </c>
      <c r="O301" s="498">
        <f t="shared" ca="1" si="136"/>
        <v>40.412621359223301</v>
      </c>
      <c r="P301" s="498">
        <f t="shared" ca="1" si="137"/>
        <v>40.412621359223301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IFERROR(__xludf.DUMMYFUNCTION("IMPORTRANGE(""https://docs.google.com/spreadsheets/d/1MeEWN-I1oV_STSDYn1IFDPWt_1FKiwhDph83XaGc0o0/edit?usp=sharing"",""งบพรบ!DS76"")"),82400)</f>
        <v>82400</v>
      </c>
      <c r="M303" s="93">
        <f ca="1">IFERROR(__xludf.DUMMYFUNCTION("IMPORTRANGE(""https://docs.google.com/spreadsheets/d/1MeEWN-I1oV_STSDYn1IFDPWt_1FKiwhDph83XaGc0o0/edit?usp=sharing"",""งบพรบ!DX76"")"),82400)</f>
        <v>82400</v>
      </c>
      <c r="N303" s="93">
        <f ca="1">IFERROR(__xludf.DUMMYFUNCTION("IMPORTRANGE(""https://docs.google.com/spreadsheets/d/1MeEWN-I1oV_STSDYn1IFDPWt_1FKiwhDph83XaGc0o0/edit?usp=sharing"",""งบพรบ!DZ76"")"),33300)</f>
        <v>33300</v>
      </c>
      <c r="O303" s="93">
        <f t="shared" ca="1" si="136"/>
        <v>40.412621359223301</v>
      </c>
      <c r="P303" s="93">
        <f t="shared" ca="1" si="137"/>
        <v>40.412621359223301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IFERROR(__xludf.DUMMYFUNCTION("IMPORTRANGE(""https://docs.google.com/spreadsheets/d/1MeEWN-I1oV_STSDYn1IFDPWt_1FKiwhDph83XaGc0o0/edit?usp=sharing"",""งบพรบ!DV76"")"),0)</f>
        <v>0</v>
      </c>
      <c r="M306" s="93">
        <f ca="1">IFERROR(__xludf.DUMMYFUNCTION("IMPORTRANGE(""https://docs.google.com/spreadsheets/d/1MeEWN-I1oV_STSDYn1IFDPWt_1FKiwhDph83XaGc0o0/edit?usp=sharing"",""งบพรบ!DY76"")"),0)</f>
        <v>0</v>
      </c>
      <c r="N306" s="93">
        <f ca="1">IFERROR(__xludf.DUMMYFUNCTION("IMPORTRANGE(""https://docs.google.com/spreadsheets/d/1MeEWN-I1oV_STSDYn1IFDPWt_1FKiwhDph83XaGc0o0/edit?usp=sharing"",""งบพรบ!EA76"")"),0)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IFERROR(__xludf.DUMMYFUNCTION("IMPORTRANGE(""https://docs.google.com/spreadsheets/d/1QqKyyYR6Q21VydFLVH3TRQUabQu_ym0Zz7PgGX0-kHA/edit?usp=sharing"",""แผน!ED76"")"),20)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IFERROR(__xludf.DUMMYFUNCTION("IMPORTRANGE(""https://docs.google.com/spreadsheets/d/1QqKyyYR6Q21VydFLVH3TRQUabQu_ym0Zz7PgGX0-kHA/edit?usp=sharing"",""แผน!ED76"")"),20)</f>
        <v>20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IFERROR(__xludf.DUMMYFUNCTION("IMPORTRANGE(""https://docs.google.com/spreadsheets/d/1QqKyyYR6Q21VydFLVH3TRQUabQu_ym0Zz7PgGX0-kHA/edit?usp=sharing"",""แผน!ED76"")"),20)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IFERROR(__xludf.DUMMYFUNCTION("IMPORTRANGE(""https://docs.google.com/spreadsheets/d/1QqKyyYR6Q21VydFLVH3TRQUabQu_ym0Zz7PgGX0-kHA/edit?usp=sharing"",""แผน!EE76"")"),4)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153000</v>
      </c>
      <c r="M315" s="155">
        <f t="shared" ca="1" si="143"/>
        <v>153000</v>
      </c>
      <c r="N315" s="155">
        <f t="shared" ca="1" si="143"/>
        <v>121686.2</v>
      </c>
      <c r="O315" s="155">
        <f t="shared" ref="O315:O323" ca="1" si="144">IF(L315&gt;0,N315*100/L315,0)</f>
        <v>79.533464052287584</v>
      </c>
      <c r="P315" s="155">
        <f t="shared" ref="P315:P323" ca="1" si="145">IF(M315&gt;0,N315*100/M315,0)</f>
        <v>79.533464052287584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153000</v>
      </c>
      <c r="M317" s="93">
        <f t="shared" ca="1" si="146"/>
        <v>153000</v>
      </c>
      <c r="N317" s="93">
        <f t="shared" ca="1" si="146"/>
        <v>121686.2</v>
      </c>
      <c r="O317" s="93">
        <f t="shared" ca="1" si="144"/>
        <v>79.533464052287584</v>
      </c>
      <c r="P317" s="93">
        <f t="shared" ca="1" si="145"/>
        <v>79.533464052287584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153000</v>
      </c>
      <c r="M318" s="498">
        <f t="shared" ca="1" si="147"/>
        <v>153000</v>
      </c>
      <c r="N318" s="498">
        <f t="shared" ca="1" si="147"/>
        <v>121686.2</v>
      </c>
      <c r="O318" s="498">
        <f t="shared" ca="1" si="144"/>
        <v>79.533464052287584</v>
      </c>
      <c r="P318" s="498">
        <f t="shared" ca="1" si="145"/>
        <v>79.533464052287584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IFERROR(__xludf.DUMMYFUNCTION("IMPORTRANGE(""https://docs.google.com/spreadsheets/d/1MeEWN-I1oV_STSDYn1IFDPWt_1FKiwhDph83XaGc0o0/edit?usp=sharing"",""งบพรบ!EC76"")"),153000)</f>
        <v>153000</v>
      </c>
      <c r="M320" s="93">
        <f ca="1">IFERROR(__xludf.DUMMYFUNCTION("IMPORTRANGE(""https://docs.google.com/spreadsheets/d/1MeEWN-I1oV_STSDYn1IFDPWt_1FKiwhDph83XaGc0o0/edit?usp=sharing"",""งบพรบ!EH76"")"),153000)</f>
        <v>153000</v>
      </c>
      <c r="N320" s="93">
        <f ca="1">IFERROR(__xludf.DUMMYFUNCTION("IMPORTRANGE(""https://docs.google.com/spreadsheets/d/1MeEWN-I1oV_STSDYn1IFDPWt_1FKiwhDph83XaGc0o0/edit?usp=sharing"",""งบพรบ!EJ76"")"),121686.2)</f>
        <v>121686.2</v>
      </c>
      <c r="O320" s="93">
        <f t="shared" ca="1" si="144"/>
        <v>79.533464052287584</v>
      </c>
      <c r="P320" s="93">
        <f t="shared" ca="1" si="145"/>
        <v>79.533464052287584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IFERROR(__xludf.DUMMYFUNCTION("IMPORTRANGE(""https://docs.google.com/spreadsheets/d/1MeEWN-I1oV_STSDYn1IFDPWt_1FKiwhDph83XaGc0o0/edit?usp=sharing"",""งบพรบ!EF76"")"),0)</f>
        <v>0</v>
      </c>
      <c r="M323" s="93">
        <f ca="1">IFERROR(__xludf.DUMMYFUNCTION("IMPORTRANGE(""https://docs.google.com/spreadsheets/d/1MeEWN-I1oV_STSDYn1IFDPWt_1FKiwhDph83XaGc0o0/edit?usp=sharing"",""งบพรบ!EI76"")"),0)</f>
        <v>0</v>
      </c>
      <c r="N323" s="93">
        <f ca="1">IFERROR(__xludf.DUMMYFUNCTION("IMPORTRANGE(""https://docs.google.com/spreadsheets/d/1MeEWN-I1oV_STSDYn1IFDPWt_1FKiwhDph83XaGc0o0/edit?usp=sharing"",""งบพรบ!EK76"")"),0)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IFERROR(__xludf.DUMMYFUNCTION("IMPORTRANGE(""https://docs.google.com/spreadsheets/d/1QqKyyYR6Q21VydFLVH3TRQUabQu_ym0Zz7PgGX0-kHA/edit?usp=sharing"",""แผน!EF76"")"),1)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IFERROR(__xludf.DUMMYFUNCTION("IMPORTRANGE(""https://docs.google.com/spreadsheets/d/1QqKyyYR6Q21VydFLVH3TRQUabQu_ym0Zz7PgGX0-kHA/edit?usp=sharing"",""แผน!EG76"")"),3100)</f>
        <v>3100</v>
      </c>
      <c r="J327" s="445">
        <f ca="1">J338+J341+J342+J343</f>
        <v>3283</v>
      </c>
      <c r="K327" s="446">
        <f ca="1">IF(I327&gt;0,J327*100/I327,0)</f>
        <v>105.90322580645162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173000</v>
      </c>
      <c r="M328" s="155">
        <f t="shared" ca="1" si="149"/>
        <v>175500</v>
      </c>
      <c r="N328" s="155">
        <f t="shared" ca="1" si="149"/>
        <v>125647</v>
      </c>
      <c r="O328" s="155">
        <f t="shared" ref="O328:O336" ca="1" si="150">IF(L328&gt;0,N328*100/L328,0)</f>
        <v>72.628323699421969</v>
      </c>
      <c r="P328" s="155">
        <f t="shared" ref="P328:P336" ca="1" si="151">IF(M328&gt;0,N328*100/M328,0)</f>
        <v>71.593732193732194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173000</v>
      </c>
      <c r="M330" s="93">
        <f t="shared" ca="1" si="152"/>
        <v>175500</v>
      </c>
      <c r="N330" s="93">
        <f t="shared" ca="1" si="152"/>
        <v>125647</v>
      </c>
      <c r="O330" s="93">
        <f t="shared" ca="1" si="150"/>
        <v>72.628323699421969</v>
      </c>
      <c r="P330" s="93">
        <f t="shared" ca="1" si="151"/>
        <v>71.593732193732194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173000</v>
      </c>
      <c r="M331" s="498">
        <f t="shared" ca="1" si="153"/>
        <v>175500</v>
      </c>
      <c r="N331" s="498">
        <f t="shared" ca="1" si="153"/>
        <v>125647</v>
      </c>
      <c r="O331" s="498">
        <f t="shared" ca="1" si="150"/>
        <v>72.628323699421969</v>
      </c>
      <c r="P331" s="498">
        <f t="shared" ca="1" si="151"/>
        <v>71.593732193732194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IFERROR(__xludf.DUMMYFUNCTION("IMPORTRANGE(""https://docs.google.com/spreadsheets/d/1MeEWN-I1oV_STSDYn1IFDPWt_1FKiwhDph83XaGc0o0/edit?usp=sharing"",""งบพรบ!EM76"")"),173000)</f>
        <v>173000</v>
      </c>
      <c r="M333" s="93">
        <f ca="1">IFERROR(__xludf.DUMMYFUNCTION("IMPORTRANGE(""https://docs.google.com/spreadsheets/d/1MeEWN-I1oV_STSDYn1IFDPWt_1FKiwhDph83XaGc0o0/edit?usp=sharing"",""งบพรบ!ER76"")"),175500)</f>
        <v>175500</v>
      </c>
      <c r="N333" s="93">
        <f ca="1">IFERROR(__xludf.DUMMYFUNCTION("IMPORTRANGE(""https://docs.google.com/spreadsheets/d/1MeEWN-I1oV_STSDYn1IFDPWt_1FKiwhDph83XaGc0o0/edit?usp=sharing"",""งบพรบ!ET76"")"),125647)</f>
        <v>125647</v>
      </c>
      <c r="O333" s="93">
        <f t="shared" ca="1" si="150"/>
        <v>72.628323699421969</v>
      </c>
      <c r="P333" s="93">
        <f t="shared" ca="1" si="151"/>
        <v>71.593732193732194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IFERROR(__xludf.DUMMYFUNCTION("IMPORTRANGE(""https://docs.google.com/spreadsheets/d/1MeEWN-I1oV_STSDYn1IFDPWt_1FKiwhDph83XaGc0o0/edit?usp=sharing"",""งบพรบ!EP76"")"),0)</f>
        <v>0</v>
      </c>
      <c r="M336" s="93">
        <f ca="1">IFERROR(__xludf.DUMMYFUNCTION("IMPORTRANGE(""https://docs.google.com/spreadsheets/d/1MeEWN-I1oV_STSDYn1IFDPWt_1FKiwhDph83XaGc0o0/edit?usp=sharing"",""งบพรบ!ES76"")"),0)</f>
        <v>0</v>
      </c>
      <c r="N336" s="93">
        <f ca="1">IFERROR(__xludf.DUMMYFUNCTION("IMPORTRANGE(""https://docs.google.com/spreadsheets/d/1MeEWN-I1oV_STSDYn1IFDPWt_1FKiwhDph83XaGc0o0/edit?usp=sharing"",""งบพรบ!EU76"")"),0)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IFERROR(__xludf.DUMMYFUNCTION("IMPORTRANGE(""https://docs.google.com/spreadsheets/d/1QqKyyYR6Q21VydFLVH3TRQUabQu_ym0Zz7PgGX0-kHA/edit?usp=sharing"",""แผน!EG76"")"),3100)</f>
        <v>3100</v>
      </c>
      <c r="J338" s="270">
        <f ca="1">IFERROR(__xludf.DUMMYFUNCTION("IMPORTRANGE(""https://docs.google.com/spreadsheets/d/1kVcqe37tkHyjCSG3S0O1AXqVkqjo8mSIZil3BcpIysc/edit?usp=sharing"",""ศูนย์!D76"")"),3220)</f>
        <v>3220</v>
      </c>
      <c r="K338" s="498">
        <f ca="1">IF(I338&gt;0,J338*100/I338,0)</f>
        <v>103.87096774193549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IFERROR(__xludf.DUMMYFUNCTION("IMPORTRANGE(""https://docs.google.com/spreadsheets/d/1QqKyyYR6Q21VydFLVH3TRQUabQu_ym0Zz7PgGX0-kHA/edit?usp=sharing"",""แผน!EH76"")"),5)</f>
        <v>5</v>
      </c>
      <c r="J340" s="270">
        <f ca="1">IFERROR(__xludf.DUMMYFUNCTION("IMPORTRANGE(""https://docs.google.com/spreadsheets/d/1kVcqe37tkHyjCSG3S0O1AXqVkqjo8mSIZil3BcpIysc/edit?usp=sharing"",""ศูนย์!E76"")"),1)</f>
        <v>1</v>
      </c>
      <c r="K340" s="498">
        <f ca="1">IF(I340&gt;0,J340*100/I340,0)</f>
        <v>20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IFERROR(__xludf.DUMMYFUNCTION("IMPORTRANGE(""https://docs.google.com/spreadsheets/d/1kVcqe37tkHyjCSG3S0O1AXqVkqjo8mSIZil3BcpIysc/edit?usp=sharing"",""ศูนย์!F76"")"),63)</f>
        <v>63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IFERROR(__xludf.DUMMYFUNCTION("IMPORTRANGE(""https://docs.google.com/spreadsheets/d/1kVcqe37tkHyjCSG3S0O1AXqVkqjo8mSIZil3BcpIysc/edit?usp=sharing"",""ศูนย์!G76"")"),0)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IFERROR(__xludf.DUMMYFUNCTION("IMPORTRANGE(""https://docs.google.com/spreadsheets/d/1kVcqe37tkHyjCSG3S0O1AXqVkqjo8mSIZil3BcpIysc/edit?usp=sharing"",""ศูนย์!H76"")"),0)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768060</v>
      </c>
      <c r="M345" s="155">
        <f t="shared" ca="1" si="155"/>
        <v>991240</v>
      </c>
      <c r="N345" s="155">
        <f t="shared" ca="1" si="155"/>
        <v>759175.4</v>
      </c>
      <c r="O345" s="155">
        <f t="shared" ref="O345:O353" ca="1" si="156">IF(L345&gt;0,N345*100/L345,0)</f>
        <v>98.843241413431244</v>
      </c>
      <c r="P345" s="155">
        <f t="shared" ref="P345:P353" ca="1" si="157">IF(M345&gt;0,N345*100/M345,0)</f>
        <v>76.588454864614022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768060</v>
      </c>
      <c r="M347" s="93">
        <f t="shared" ca="1" si="158"/>
        <v>991240</v>
      </c>
      <c r="N347" s="93">
        <f t="shared" ca="1" si="158"/>
        <v>759175.4</v>
      </c>
      <c r="O347" s="93">
        <f t="shared" ca="1" si="156"/>
        <v>98.843241413431244</v>
      </c>
      <c r="P347" s="93">
        <f t="shared" ca="1" si="157"/>
        <v>76.588454864614022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566060</v>
      </c>
      <c r="M348" s="498">
        <f t="shared" ca="1" si="159"/>
        <v>789240</v>
      </c>
      <c r="N348" s="498">
        <f t="shared" ca="1" si="159"/>
        <v>557175.4</v>
      </c>
      <c r="O348" s="498">
        <f t="shared" ca="1" si="156"/>
        <v>98.430449069003288</v>
      </c>
      <c r="P348" s="498">
        <f t="shared" ca="1" si="157"/>
        <v>70.596447215042318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IFERROR(__xludf.DUMMYFUNCTION("IMPORTRANGE(""https://docs.google.com/spreadsheets/d/1MeEWN-I1oV_STSDYn1IFDPWt_1FKiwhDph83XaGc0o0/edit?usp=sharing"",""งบพรบ!EW76"")"),566060)</f>
        <v>566060</v>
      </c>
      <c r="M350" s="93">
        <f ca="1">IFERROR(__xludf.DUMMYFUNCTION("IMPORTRANGE(""https://docs.google.com/spreadsheets/d/1MeEWN-I1oV_STSDYn1IFDPWt_1FKiwhDph83XaGc0o0/edit?usp=sharing"",""งบพรบ!FB76"")"),789240)</f>
        <v>789240</v>
      </c>
      <c r="N350" s="93">
        <f ca="1">IFERROR(__xludf.DUMMYFUNCTION("IMPORTRANGE(""https://docs.google.com/spreadsheets/d/1MeEWN-I1oV_STSDYn1IFDPWt_1FKiwhDph83XaGc0o0/edit?usp=sharing"",""งบพรบ!FD76"")"),557175.4)</f>
        <v>557175.4</v>
      </c>
      <c r="O350" s="93">
        <f t="shared" ca="1" si="156"/>
        <v>98.430449069003288</v>
      </c>
      <c r="P350" s="93">
        <f t="shared" ca="1" si="157"/>
        <v>70.596447215042318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202000</v>
      </c>
      <c r="M351" s="498">
        <f t="shared" ca="1" si="160"/>
        <v>202000</v>
      </c>
      <c r="N351" s="498">
        <f t="shared" ca="1" si="160"/>
        <v>202000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IFERROR(__xludf.DUMMYFUNCTION("IMPORTRANGE(""https://docs.google.com/spreadsheets/d/1MeEWN-I1oV_STSDYn1IFDPWt_1FKiwhDph83XaGc0o0/edit?usp=sharing"",""งบพรบ!EZ76"")"),202000)</f>
        <v>202000</v>
      </c>
      <c r="M353" s="93">
        <f ca="1">IFERROR(__xludf.DUMMYFUNCTION("IMPORTRANGE(""https://docs.google.com/spreadsheets/d/1MeEWN-I1oV_STSDYn1IFDPWt_1FKiwhDph83XaGc0o0/edit?usp=sharing"",""งบพรบ!FC76"")"),202000)</f>
        <v>202000</v>
      </c>
      <c r="N353" s="93">
        <f ca="1">IFERROR(__xludf.DUMMYFUNCTION("IMPORTRANGE(""https://docs.google.com/spreadsheets/d/1MeEWN-I1oV_STSDYn1IFDPWt_1FKiwhDph83XaGc0o0/edit?usp=sharing"",""งบพรบ!FE76"")"),202000)</f>
        <v>202000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IFERROR(__xludf.DUMMYFUNCTION("IMPORTRANGE(""https://docs.google.com/spreadsheets/d/1QqKyyYR6Q21VydFLVH3TRQUabQu_ym0Zz7PgGX0-kHA/edit?usp=sharing"",""แผน!EP76"")"),280)</f>
        <v>280</v>
      </c>
      <c r="J355" s="465">
        <f ca="1">J362</f>
        <v>47</v>
      </c>
      <c r="K355" s="466">
        <f ca="1">IF(I355&gt;0,J355*100/I355,0)</f>
        <v>16.785714285714285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IFERROR(__xludf.DUMMYFUNCTION("IMPORTRANGE(""https://docs.google.com/spreadsheets/d/1XWAQStnk-4SwqDmLtmXYiTMKHgktTP8We1SCoS47DrQ/edit?usp=sharing"",""จัดที่ดิน!W76"")"),304)</f>
        <v>304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IFERROR(__xludf.DUMMYFUNCTION("IMPORTRANGE(""https://docs.google.com/spreadsheets/d/1QqKyyYR6Q21VydFLVH3TRQUabQu_ym0Zz7PgGX0-kHA/edit?usp=sharing"",""แผน!EO76"")"),2500)</f>
        <v>2500</v>
      </c>
      <c r="J359" s="270">
        <f ca="1">IFERROR(__xludf.DUMMYFUNCTION("IMPORTRANGE(""https://docs.google.com/spreadsheets/d/1XWAQStnk-4SwqDmLtmXYiTMKHgktTP8We1SCoS47DrQ/edit?usp=sharing"",""จัดที่ดิน!X76"")"),2857.41)</f>
        <v>2857.41</v>
      </c>
      <c r="K359" s="498">
        <f t="shared" ca="1" si="161"/>
        <v>114.29640000000001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IFERROR(__xludf.DUMMYFUNCTION("IMPORTRANGE(""https://docs.google.com/spreadsheets/d/1QqKyyYR6Q21VydFLVH3TRQUabQu_ym0Zz7PgGX0-kHA/edit?usp=sharing"",""แผน!EP76"")"),280)</f>
        <v>280</v>
      </c>
      <c r="J360" s="270">
        <f ca="1">IFERROR(__xludf.DUMMYFUNCTION("IMPORTRANGE(""https://docs.google.com/spreadsheets/d/1XWAQStnk-4SwqDmLtmXYiTMKHgktTP8We1SCoS47DrQ/edit?usp=sharing"",""จัดที่ดิน!Y76"")"),204)</f>
        <v>204</v>
      </c>
      <c r="K360" s="498">
        <f t="shared" ca="1" si="161"/>
        <v>72.857142857142861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IFERROR(__xludf.DUMMYFUNCTION("IMPORTRANGE(""https://docs.google.com/spreadsheets/d/1XWAQStnk-4SwqDmLtmXYiTMKHgktTP8We1SCoS47DrQ/edit?usp=sharing"",""จัดที่ดิน!Z76"")"),2003.28)</f>
        <v>2003.28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IFERROR(__xludf.DUMMYFUNCTION("IMPORTRANGE(""https://docs.google.com/spreadsheets/d/1QqKyyYR6Q21VydFLVH3TRQUabQu_ym0Zz7PgGX0-kHA/edit?usp=sharing"",""แผน!EP76"")"),280)</f>
        <v>280</v>
      </c>
      <c r="J362" s="270">
        <f ca="1">IFERROR(__xludf.DUMMYFUNCTION("IMPORTRANGE(""https://docs.google.com/spreadsheets/d/1XWAQStnk-4SwqDmLtmXYiTMKHgktTP8We1SCoS47DrQ/edit?usp=sharing"",""จัดที่ดิน!AA76"")"),47)</f>
        <v>47</v>
      </c>
      <c r="K362" s="498">
        <f t="shared" ca="1" si="161"/>
        <v>16.785714285714285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IFERROR(__xludf.DUMMYFUNCTION("IMPORTRANGE(""https://docs.google.com/spreadsheets/d/1XWAQStnk-4SwqDmLtmXYiTMKHgktTP8We1SCoS47DrQ/edit?usp=sharing"",""จัดที่ดิน!AB76"")"),426.39)</f>
        <v>426.39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670</v>
      </c>
      <c r="J364" s="479">
        <f t="shared" ca="1" si="162"/>
        <v>493</v>
      </c>
      <c r="K364" s="480">
        <f t="shared" ca="1" si="161"/>
        <v>73.582089552238813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IFERROR(__xludf.DUMMYFUNCTION("IMPORTRANGE(""https://docs.google.com/spreadsheets/d/1QqKyyYR6Q21VydFLVH3TRQUabQu_ym0Zz7PgGX0-kHA/edit?usp=sharing"",""แผน!EJ76"")"),100)</f>
        <v>100</v>
      </c>
      <c r="J365" s="491">
        <f ca="1">J372</f>
        <v>5</v>
      </c>
      <c r="K365" s="492">
        <f t="shared" ca="1" si="161"/>
        <v>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IFERROR(__xludf.DUMMYFUNCTION("IMPORTRANGE(""https://docs.google.com/spreadsheets/d/1XWAQStnk-4SwqDmLtmXYiTMKHgktTP8We1SCoS47DrQ/edit?usp=sharing"",""จัดที่ดิน!E76"")"),90)</f>
        <v>90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IFERROR(__xludf.DUMMYFUNCTION("IMPORTRANGE(""https://docs.google.com/spreadsheets/d/1QqKyyYR6Q21VydFLVH3TRQUabQu_ym0Zz7PgGX0-kHA/edit?usp=sharing"",""แผน!EI76"")"),1000)</f>
        <v>1000</v>
      </c>
      <c r="J369" s="270">
        <f ca="1">IFERROR(__xludf.DUMMYFUNCTION("IMPORTRANGE(""https://docs.google.com/spreadsheets/d/1XWAQStnk-4SwqDmLtmXYiTMKHgktTP8We1SCoS47DrQ/edit?usp=sharing"",""จัดที่ดิน!F76"")"),823.54)</f>
        <v>823.54</v>
      </c>
      <c r="K369" s="498">
        <f t="shared" ca="1" si="163"/>
        <v>82.353999999999999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IFERROR(__xludf.DUMMYFUNCTION("IMPORTRANGE(""https://docs.google.com/spreadsheets/d/1QqKyyYR6Q21VydFLVH3TRQUabQu_ym0Zz7PgGX0-kHA/edit?usp=sharing"",""แผน!EJ76"")"),100)</f>
        <v>100</v>
      </c>
      <c r="J370" s="270">
        <f ca="1">IFERROR(__xludf.DUMMYFUNCTION("IMPORTRANGE(""https://docs.google.com/spreadsheets/d/1XWAQStnk-4SwqDmLtmXYiTMKHgktTP8We1SCoS47DrQ/edit?usp=sharing"",""จัดที่ดิน!G76"")"),16)</f>
        <v>16</v>
      </c>
      <c r="K370" s="498">
        <f t="shared" ca="1" si="163"/>
        <v>16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IFERROR(__xludf.DUMMYFUNCTION("IMPORTRANGE(""https://docs.google.com/spreadsheets/d/1XWAQStnk-4SwqDmLtmXYiTMKHgktTP8We1SCoS47DrQ/edit?usp=sharing"",""จัดที่ดิน!H76"")"),229.43)</f>
        <v>229.43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IFERROR(__xludf.DUMMYFUNCTION("IMPORTRANGE(""https://docs.google.com/spreadsheets/d/1QqKyyYR6Q21VydFLVH3TRQUabQu_ym0Zz7PgGX0-kHA/edit?usp=sharing"",""แผน!EJ76"")"),100)</f>
        <v>100</v>
      </c>
      <c r="J372" s="270">
        <f ca="1">IFERROR(__xludf.DUMMYFUNCTION("IMPORTRANGE(""https://docs.google.com/spreadsheets/d/1XWAQStnk-4SwqDmLtmXYiTMKHgktTP8We1SCoS47DrQ/edit?usp=sharing"",""จัดที่ดิน!I76"")"),5)</f>
        <v>5</v>
      </c>
      <c r="K372" s="498">
        <f t="shared" ca="1" si="163"/>
        <v>5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IFERROR(__xludf.DUMMYFUNCTION("IMPORTRANGE(""https://docs.google.com/spreadsheets/d/1XWAQStnk-4SwqDmLtmXYiTMKHgktTP8We1SCoS47DrQ/edit?usp=sharing"",""จัดที่ดิน!J76"")"),36.85)</f>
        <v>36.85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IFERROR(__xludf.DUMMYFUNCTION("IMPORTRANGE(""https://docs.google.com/spreadsheets/d/1QqKyyYR6Q21VydFLVH3TRQUabQu_ym0Zz7PgGX0-kHA/edit?usp=sharing"",""แผน!EU76"")"),570)</f>
        <v>570</v>
      </c>
      <c r="J374" s="491">
        <f ca="1">J381</f>
        <v>488</v>
      </c>
      <c r="K374" s="492">
        <f t="shared" ca="1" si="163"/>
        <v>85.614035087719301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IFERROR(__xludf.DUMMYFUNCTION("IMPORTRANGE(""https://docs.google.com/spreadsheets/d/1XWAQStnk-4SwqDmLtmXYiTMKHgktTP8We1SCoS47DrQ/edit?usp=sharing"",""จัดที่ดิน!AH76"")"),214)</f>
        <v>214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IFERROR(__xludf.DUMMYFUNCTION("IMPORTRANGE(""https://docs.google.com/spreadsheets/d/1QqKyyYR6Q21VydFLVH3TRQUabQu_ym0Zz7PgGX0-kHA/edit?usp=sharing"",""แผน!ET76"")"),1500)</f>
        <v>1500</v>
      </c>
      <c r="J378" s="270">
        <f ca="1">IFERROR(__xludf.DUMMYFUNCTION("IMPORTRANGE(""https://docs.google.com/spreadsheets/d/1XWAQStnk-4SwqDmLtmXYiTMKHgktTP8We1SCoS47DrQ/edit?usp=sharing"",""จัดที่ดิน!AI76"")"),2033.87)</f>
        <v>2033.87</v>
      </c>
      <c r="K378" s="498">
        <f t="shared" ca="1" si="164"/>
        <v>135.59133333333332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IFERROR(__xludf.DUMMYFUNCTION("IMPORTRANGE(""https://docs.google.com/spreadsheets/d/1QqKyyYR6Q21VydFLVH3TRQUabQu_ym0Zz7PgGX0-kHA/edit?usp=sharing"",""แผน!EU76"")"),570)</f>
        <v>570</v>
      </c>
      <c r="J379" s="270">
        <f ca="1">IFERROR(__xludf.DUMMYFUNCTION("IMPORTRANGE(""https://docs.google.com/spreadsheets/d/1XWAQStnk-4SwqDmLtmXYiTMKHgktTP8We1SCoS47DrQ/edit?usp=sharing"",""จัดที่ดิน!AJ76"")"),635)</f>
        <v>635</v>
      </c>
      <c r="K379" s="498">
        <f t="shared" ca="1" si="164"/>
        <v>111.40350877192982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IFERROR(__xludf.DUMMYFUNCTION("IMPORTRANGE(""https://docs.google.com/spreadsheets/d/1XWAQStnk-4SwqDmLtmXYiTMKHgktTP8We1SCoS47DrQ/edit?usp=sharing"",""จัดที่ดิน!AK76"")"),8011.12999999999)</f>
        <v>8011.1299999999901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IFERROR(__xludf.DUMMYFUNCTION("IMPORTRANGE(""https://docs.google.com/spreadsheets/d/1QqKyyYR6Q21VydFLVH3TRQUabQu_ym0Zz7PgGX0-kHA/edit?usp=sharing"",""แผน!EU76"")"),570)</f>
        <v>570</v>
      </c>
      <c r="J381" s="270">
        <f ca="1">IFERROR(__xludf.DUMMYFUNCTION("IMPORTRANGE(""https://docs.google.com/spreadsheets/d/1XWAQStnk-4SwqDmLtmXYiTMKHgktTP8We1SCoS47DrQ/edit?usp=sharing"",""จัดที่ดิน!AL76"")"),488)</f>
        <v>488</v>
      </c>
      <c r="K381" s="498">
        <f t="shared" ca="1" si="164"/>
        <v>85.614035087719301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IFERROR(__xludf.DUMMYFUNCTION("IMPORTRANGE(""https://docs.google.com/spreadsheets/d/1XWAQStnk-4SwqDmLtmXYiTMKHgktTP8We1SCoS47DrQ/edit?usp=sharing"",""จัดที่ดิน!AM76"")"),6602.95)</f>
        <v>6602.95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IFERROR(__xludf.DUMMYFUNCTION("IMPORTRANGE(""https://docs.google.com/spreadsheets/d/1QqKyyYR6Q21VydFLVH3TRQUabQu_ym0Zz7PgGX0-kHA/edit?usp=sharing"",""แผน!EW76"")"),35)</f>
        <v>35</v>
      </c>
      <c r="J385" s="505">
        <f ca="1">IFERROR(__xludf.DUMMYFUNCTION("IMPORTRANGE(""https://docs.google.com/spreadsheets/d/1XWAQStnk-4SwqDmLtmXYiTMKHgktTP8We1SCoS47DrQ/edit?usp=sharing"",""จัดที่ดิน!AP76"")"),0)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IFERROR(__xludf.DUMMYFUNCTION("IMPORTRANGE(""https://docs.google.com/spreadsheets/d/1MeEWN-I1oV_STSDYn1IFDPWt_1FKiwhDph83XaGc0o0/edit?usp=sharing"",""งบพรบ!FG76"")"),0)</f>
        <v>0</v>
      </c>
      <c r="M394" s="93">
        <f ca="1">IFERROR(__xludf.DUMMYFUNCTION("IMPORTRANGE(""https://docs.google.com/spreadsheets/d/1MeEWN-I1oV_STSDYn1IFDPWt_1FKiwhDph83XaGc0o0/edit?usp=sharing"",""งบพรบ!FL76"")"),0)</f>
        <v>0</v>
      </c>
      <c r="N394" s="93">
        <f ca="1">IFERROR(__xludf.DUMMYFUNCTION("IMPORTRANGE(""https://docs.google.com/spreadsheets/d/1MeEWN-I1oV_STSDYn1IFDPWt_1FKiwhDph83XaGc0o0/edit?usp=sharing"",""งบพรบ!FN76"")"),0)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IFERROR(__xludf.DUMMYFUNCTION("IMPORTRANGE(""https://docs.google.com/spreadsheets/d/1MeEWN-I1oV_STSDYn1IFDPWt_1FKiwhDph83XaGc0o0/edit?usp=sharing"",""งบพรบ!FJ76"")"),0)</f>
        <v>0</v>
      </c>
      <c r="M397" s="93">
        <f ca="1">IFERROR(__xludf.DUMMYFUNCTION("IMPORTRANGE(""https://docs.google.com/spreadsheets/d/1MeEWN-I1oV_STSDYn1IFDPWt_1FKiwhDph83XaGc0o0/edit?usp=sharing"",""งบพรบ!FM76"")"),0)</f>
        <v>0</v>
      </c>
      <c r="N397" s="93">
        <f ca="1">IFERROR(__xludf.DUMMYFUNCTION("IMPORTRANGE(""https://docs.google.com/spreadsheets/d/1MeEWN-I1oV_STSDYn1IFDPWt_1FKiwhDph83XaGc0o0/edit?usp=sharing"",""งบพรบ!FO76"")"),0)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IFERROR(__xludf.DUMMYFUNCTION("IMPORTRANGE(""https://docs.google.com/spreadsheets/d/1MeEWN-I1oV_STSDYn1IFDPWt_1FKiwhDph83XaGc0o0/edit?usp=sharing"",""งบพรบ!FQ76"")"),0)</f>
        <v>0</v>
      </c>
      <c r="M407" s="93">
        <f ca="1">IFERROR(__xludf.DUMMYFUNCTION("IMPORTRANGE(""https://docs.google.com/spreadsheets/d/1MeEWN-I1oV_STSDYn1IFDPWt_1FKiwhDph83XaGc0o0/edit?usp=sharing"",""งบพรบ!FV76"")"),0)</f>
        <v>0</v>
      </c>
      <c r="N407" s="93">
        <f ca="1">IFERROR(__xludf.DUMMYFUNCTION("IMPORTRANGE(""https://docs.google.com/spreadsheets/d/1MeEWN-I1oV_STSDYn1IFDPWt_1FKiwhDph83XaGc0o0/edit?usp=sharing"",""งบพรบ!FX76"")"),0)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IFERROR(__xludf.DUMMYFUNCTION("IMPORTRANGE(""https://docs.google.com/spreadsheets/d/1MeEWN-I1oV_STSDYn1IFDPWt_1FKiwhDph83XaGc0o0/edit?usp=sharing"",""งบพรบ!FT76"")"),0)</f>
        <v>0</v>
      </c>
      <c r="M410" s="93">
        <f ca="1">IFERROR(__xludf.DUMMYFUNCTION("IMPORTRANGE(""https://docs.google.com/spreadsheets/d/1MeEWN-I1oV_STSDYn1IFDPWt_1FKiwhDph83XaGc0o0/edit?usp=sharing"",""งบพรบ!FW76"")"),0)</f>
        <v>0</v>
      </c>
      <c r="N410" s="93">
        <f ca="1">IFERROR(__xludf.DUMMYFUNCTION("IMPORTRANGE(""https://docs.google.com/spreadsheets/d/1MeEWN-I1oV_STSDYn1IFDPWt_1FKiwhDph83XaGc0o0/edit?usp=sharing"",""งบพรบ!FY76"")"),0)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2119836</v>
      </c>
      <c r="M414" s="553">
        <f t="shared" ca="1" si="181"/>
        <v>2119836</v>
      </c>
      <c r="N414" s="553">
        <f t="shared" si="181"/>
        <v>1681752.82</v>
      </c>
      <c r="O414" s="553">
        <f ca="1">IF(L414&gt;0,N414*100/L414,0)</f>
        <v>79.334100373802499</v>
      </c>
      <c r="P414" s="553">
        <f ca="1">IF(M414&gt;0,N414*100/M414,0)</f>
        <v>79.334100373802499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78760</v>
      </c>
      <c r="M419" s="155">
        <f t="shared" ca="1" si="184"/>
        <v>78760</v>
      </c>
      <c r="N419" s="155">
        <f t="shared" si="184"/>
        <v>39240</v>
      </c>
      <c r="O419" s="155">
        <f t="shared" ref="O419:O424" ca="1" si="185">IF(L419&gt;0,N419*100/L419,0)</f>
        <v>49.822244794311835</v>
      </c>
      <c r="P419" s="155">
        <f t="shared" ref="P419:P424" ca="1" si="186">IF(M419&gt;0,N419*100/M419,0)</f>
        <v>49.822244794311835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78760</v>
      </c>
      <c r="M421" s="93">
        <f t="shared" ca="1" si="187"/>
        <v>78760</v>
      </c>
      <c r="N421" s="93">
        <f t="shared" si="187"/>
        <v>39240</v>
      </c>
      <c r="O421" s="93">
        <f t="shared" ca="1" si="185"/>
        <v>49.822244794311835</v>
      </c>
      <c r="P421" s="93">
        <f t="shared" ca="1" si="186"/>
        <v>49.822244794311835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78760</v>
      </c>
      <c r="M422" s="498">
        <f t="shared" ca="1" si="188"/>
        <v>78760</v>
      </c>
      <c r="N422" s="498">
        <f t="shared" si="188"/>
        <v>39240</v>
      </c>
      <c r="O422" s="498">
        <f t="shared" ca="1" si="185"/>
        <v>49.822244794311835</v>
      </c>
      <c r="P422" s="498">
        <f t="shared" ca="1" si="186"/>
        <v>49.822244794311835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IFERROR(__xludf.DUMMYFUNCTION("IMPORTRANGE(""https://docs.google.com/spreadsheets/d/1QqKyyYR6Q21VydFLVH3TRQUabQu_ym0Zz7PgGX0-kHA/edit?usp=sharing"",""แผน!EY76"")"),78760)</f>
        <v>78760</v>
      </c>
      <c r="M424" s="93">
        <f ca="1">L424</f>
        <v>78760</v>
      </c>
      <c r="N424" s="93">
        <f>N425+N426+N427+N428</f>
        <v>39240</v>
      </c>
      <c r="O424" s="93">
        <f t="shared" ca="1" si="185"/>
        <v>49.822244794311835</v>
      </c>
      <c r="P424" s="93">
        <f t="shared" ca="1" si="186"/>
        <v>49.822244794311835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28060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11180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IFERROR(__xludf.DUMMYFUNCTION("IMPORTRANGE(""https://docs.google.com/spreadsheets/d/1QqKyyYR6Q21VydFLVH3TRQUabQu_ym0Zz7PgGX0-kHA/edit?usp=sharing"",""แผน!FC76"")"),20)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IFERROR(__xludf.DUMMYFUNCTION("IMPORTRANGE(""https://docs.google.com/spreadsheets/d/1QqKyyYR6Q21VydFLVH3TRQUabQu_ym0Zz7PgGX0-kHA/edit?usp=sharing"",""แผน!FD76"")"),0)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IFERROR(__xludf.DUMMYFUNCTION("IMPORTRANGE(""https://docs.google.com/spreadsheets/d/1QqKyyYR6Q21VydFLVH3TRQUabQu_ym0Zz7PgGX0-kHA/edit?usp=sharing"",""แผน!FE76"")"),0)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IFERROR(__xludf.DUMMYFUNCTION("IMPORTRANGE(""https://docs.google.com/spreadsheets/d/1QqKyyYR6Q21VydFLVH3TRQUabQu_ym0Zz7PgGX0-kHA/edit?usp=sharing"",""แผน!FF76"")"),20)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IFERROR(__xludf.DUMMYFUNCTION("IMPORTRANGE(""https://docs.google.com/spreadsheets/d/1QqKyyYR6Q21VydFLVH3TRQUabQu_ym0Zz7PgGX0-kHA/edit?usp=sharing"",""แผน!FG76"")"),1)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IFERROR(__xludf.DUMMYFUNCTION("IMPORTRANGE(""https://docs.google.com/spreadsheets/d/1QqKyyYR6Q21VydFLVH3TRQUabQu_ym0Zz7PgGX0-kHA/edit?usp=sharing"",""แผน!FH76"")"),0)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45</v>
      </c>
      <c r="J442" s="589">
        <f t="shared" si="195"/>
        <v>45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200</v>
      </c>
      <c r="J443" s="569">
        <f t="shared" si="196"/>
        <v>200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428280</v>
      </c>
      <c r="M444" s="195">
        <f t="shared" ca="1" si="197"/>
        <v>428280</v>
      </c>
      <c r="N444" s="195">
        <f t="shared" si="197"/>
        <v>334118</v>
      </c>
      <c r="O444" s="195">
        <f t="shared" ref="O444:O449" ca="1" si="198">IF(L444&gt;0,N444*100/L444,0)</f>
        <v>78.013916129634822</v>
      </c>
      <c r="P444" s="195">
        <f t="shared" ref="P444:P449" ca="1" si="199">IF(M444&gt;0,N444*100/M444,0)</f>
        <v>78.013916129634822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428280</v>
      </c>
      <c r="M446" s="93">
        <f t="shared" ca="1" si="200"/>
        <v>428280</v>
      </c>
      <c r="N446" s="93">
        <f t="shared" si="200"/>
        <v>334118</v>
      </c>
      <c r="O446" s="93">
        <f t="shared" ca="1" si="198"/>
        <v>78.013916129634822</v>
      </c>
      <c r="P446" s="93">
        <f t="shared" ca="1" si="199"/>
        <v>78.013916129634822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428280</v>
      </c>
      <c r="M447" s="498">
        <f t="shared" ca="1" si="201"/>
        <v>428280</v>
      </c>
      <c r="N447" s="498">
        <f t="shared" si="201"/>
        <v>334118</v>
      </c>
      <c r="O447" s="498">
        <f t="shared" ca="1" si="198"/>
        <v>78.013916129634822</v>
      </c>
      <c r="P447" s="498">
        <f t="shared" ca="1" si="199"/>
        <v>78.013916129634822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IFERROR(__xludf.DUMMYFUNCTION("IMPORTRANGE(""https://docs.google.com/spreadsheets/d/1QqKyyYR6Q21VydFLVH3TRQUabQu_ym0Zz7PgGX0-kHA/edit?usp=sharing"",""แผน!FJ76"")"),428280)</f>
        <v>428280</v>
      </c>
      <c r="M449" s="93">
        <f ca="1">L449</f>
        <v>428280</v>
      </c>
      <c r="N449" s="93">
        <f>N450+N451+N452+N453</f>
        <v>334118</v>
      </c>
      <c r="O449" s="93">
        <f t="shared" ca="1" si="198"/>
        <v>78.013916129634822</v>
      </c>
      <c r="P449" s="93">
        <f t="shared" ca="1" si="199"/>
        <v>78.013916129634822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57600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182500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89268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4750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IFERROR(__xludf.DUMMYFUNCTION("IMPORTRANGE(""https://docs.google.com/spreadsheets/d/1QqKyyYR6Q21VydFLVH3TRQUabQu_ym0Zz7PgGX0-kHA/edit?usp=sharing"",""แผน!FN76"")"),45)</f>
        <v>45</v>
      </c>
      <c r="J460" s="215">
        <v>45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IFERROR(__xludf.DUMMYFUNCTION("IMPORTRANGE(""https://docs.google.com/spreadsheets/d/1QqKyyYR6Q21VydFLVH3TRQUabQu_ym0Zz7PgGX0-kHA/edit?usp=sharing"",""แผน!FO76"")"),200)</f>
        <v>200</v>
      </c>
      <c r="J462" s="215">
        <v>200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IFERROR(__xludf.DUMMYFUNCTION("IMPORTRANGE(""https://docs.google.com/spreadsheets/d/1QqKyyYR6Q21VydFLVH3TRQUabQu_ym0Zz7PgGX0-kHA/edit?usp=sharing"",""แผน!FO76"")"),200)</f>
        <v>200</v>
      </c>
      <c r="J463" s="215">
        <v>200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IFERROR(__xludf.DUMMYFUNCTION("IMPORTRANGE(""https://docs.google.com/spreadsheets/d/1QqKyyYR6Q21VydFLVH3TRQUabQu_ym0Zz7PgGX0-kHA/edit?usp=sharing"",""แผน!FN76"")"),45)</f>
        <v>45</v>
      </c>
      <c r="J464" s="215">
        <v>45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IFERROR(__xludf.DUMMYFUNCTION("IMPORTRANGE(""https://docs.google.com/spreadsheets/d/1QqKyyYR6Q21VydFLVH3TRQUabQu_ym0Zz7PgGX0-kHA/edit?usp=sharing"",""แผน!FX76"")"),51)</f>
        <v>51</v>
      </c>
      <c r="J465" s="589">
        <f>J485+J489+J492</f>
        <v>51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IFERROR(__xludf.DUMMYFUNCTION("IMPORTRANGE(""https://docs.google.com/spreadsheets/d/1QqKyyYR6Q21VydFLVH3TRQUabQu_ym0Zz7PgGX0-kHA/edit?usp=sharing"",""แผน!FW76"")"),500)</f>
        <v>500</v>
      </c>
      <c r="J466" s="569">
        <f>J495+J498</f>
        <v>500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413113</v>
      </c>
      <c r="M467" s="195">
        <f t="shared" ca="1" si="206"/>
        <v>413113</v>
      </c>
      <c r="N467" s="195">
        <f t="shared" si="206"/>
        <v>393783</v>
      </c>
      <c r="O467" s="195">
        <f t="shared" ref="O467:O472" ca="1" si="207">IF(L467&gt;0,N467*100/L467,0)</f>
        <v>95.320892830775108</v>
      </c>
      <c r="P467" s="195">
        <f t="shared" ref="P467:P472" ca="1" si="208">IF(M467&gt;0,N467*100/M467,0)</f>
        <v>95.320892830775108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413113</v>
      </c>
      <c r="M469" s="93">
        <f t="shared" ca="1" si="209"/>
        <v>413113</v>
      </c>
      <c r="N469" s="93">
        <f t="shared" si="209"/>
        <v>393783</v>
      </c>
      <c r="O469" s="93">
        <f t="shared" ca="1" si="207"/>
        <v>95.320892830775108</v>
      </c>
      <c r="P469" s="93">
        <f t="shared" ca="1" si="208"/>
        <v>95.320892830775108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413113</v>
      </c>
      <c r="M470" s="498">
        <f t="shared" ca="1" si="210"/>
        <v>413113</v>
      </c>
      <c r="N470" s="498">
        <f t="shared" si="210"/>
        <v>393783</v>
      </c>
      <c r="O470" s="498">
        <f t="shared" ca="1" si="207"/>
        <v>95.320892830775108</v>
      </c>
      <c r="P470" s="498">
        <f t="shared" ca="1" si="208"/>
        <v>95.320892830775108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IFERROR(__xludf.DUMMYFUNCTION("IMPORTRANGE(""https://docs.google.com/spreadsheets/d/1QqKyyYR6Q21VydFLVH3TRQUabQu_ym0Zz7PgGX0-kHA/edit?usp=sharing"",""แผน!FS76"")"),413113)</f>
        <v>413113</v>
      </c>
      <c r="M472" s="93">
        <f ca="1">L472</f>
        <v>413113</v>
      </c>
      <c r="N472" s="93">
        <f>N473+N474+N475+N476</f>
        <v>393783</v>
      </c>
      <c r="O472" s="93">
        <f t="shared" ca="1" si="207"/>
        <v>95.320892830775108</v>
      </c>
      <c r="P472" s="93">
        <f t="shared" ca="1" si="208"/>
        <v>95.320892830775108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69583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f>4000+310000</f>
        <v>314000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10200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IFERROR(__xludf.DUMMYFUNCTION("IMPORTRANGE(""https://docs.google.com/spreadsheets/d/1QqKyyYR6Q21VydFLVH3TRQUabQu_ym0Zz7PgGX0-kHA/edit?usp=sharing"",""แผน!FY76"")"),450)</f>
        <v>450</v>
      </c>
      <c r="J483" s="215">
        <v>450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45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IFERROR(__xludf.DUMMYFUNCTION("IMPORTRANGE(""https://docs.google.com/spreadsheets/d/1QqKyyYR6Q21VydFLVH3TRQUabQu_ym0Zz7PgGX0-kHA/edit?usp=sharing"",""แผน!FZ76"")"),45)</f>
        <v>45</v>
      </c>
      <c r="J485" s="215">
        <v>45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IFERROR(__xludf.DUMMYFUNCTION("IMPORTRANGE(""https://docs.google.com/spreadsheets/d/1QqKyyYR6Q21VydFLVH3TRQUabQu_ym0Zz7PgGX0-kHA/edit?usp=sharing"",""แผน!GA76"")"),50)</f>
        <v>50</v>
      </c>
      <c r="J487" s="215">
        <v>50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5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IFERROR(__xludf.DUMMYFUNCTION("IMPORTRANGE(""https://docs.google.com/spreadsheets/d/1QqKyyYR6Q21VydFLVH3TRQUabQu_ym0Zz7PgGX0-kHA/edit?usp=sharing"",""แผน!GB76"")"),5)</f>
        <v>5</v>
      </c>
      <c r="J489" s="215">
        <v>5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IFERROR(__xludf.DUMMYFUNCTION("IMPORTRANGE(""https://docs.google.com/spreadsheets/d/1QqKyyYR6Q21VydFLVH3TRQUabQu_ym0Zz7PgGX0-kHA/edit?usp=sharing"",""แผน!GC76"")"),1)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IFERROR(__xludf.DUMMYFUNCTION("IMPORTRANGE(""https://docs.google.com/spreadsheets/d/1QqKyyYR6Q21VydFLVH3TRQUabQu_ym0Zz7PgGX0-kHA/edit?usp=sharing"",""แผน!FY76"")"),450)</f>
        <v>450</v>
      </c>
      <c r="J495" s="215">
        <v>450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450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IFERROR(__xludf.DUMMYFUNCTION("IMPORTRANGE(""https://docs.google.com/spreadsheets/d/1QqKyyYR6Q21VydFLVH3TRQUabQu_ym0Zz7PgGX0-kHA/edit?usp=sharing"",""แผน!GA76"")"),50)</f>
        <v>50</v>
      </c>
      <c r="J498" s="215">
        <v>50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50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50</v>
      </c>
      <c r="J522" s="707">
        <f t="shared" ca="1" si="225"/>
        <v>50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440560</v>
      </c>
      <c r="M523" s="195">
        <f t="shared" ca="1" si="226"/>
        <v>440560</v>
      </c>
      <c r="N523" s="195">
        <f t="shared" si="226"/>
        <v>433240</v>
      </c>
      <c r="O523" s="195">
        <f t="shared" ref="O523:O528" ca="1" si="227">IF(L523&gt;0,N523*100/L523,0)</f>
        <v>98.338478300345017</v>
      </c>
      <c r="P523" s="195">
        <f t="shared" ref="P523:P528" ca="1" si="228">IF(M523&gt;0,N523*100/M523,0)</f>
        <v>98.338478300345017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440560</v>
      </c>
      <c r="M525" s="93">
        <f t="shared" ca="1" si="229"/>
        <v>440560</v>
      </c>
      <c r="N525" s="93">
        <f t="shared" si="229"/>
        <v>433240</v>
      </c>
      <c r="O525" s="93">
        <f t="shared" ca="1" si="227"/>
        <v>98.338478300345017</v>
      </c>
      <c r="P525" s="93">
        <f t="shared" ca="1" si="228"/>
        <v>98.338478300345017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440560</v>
      </c>
      <c r="M526" s="498">
        <f t="shared" ca="1" si="230"/>
        <v>440560</v>
      </c>
      <c r="N526" s="498">
        <f t="shared" si="230"/>
        <v>433240</v>
      </c>
      <c r="O526" s="498">
        <f t="shared" ca="1" si="227"/>
        <v>98.338478300345017</v>
      </c>
      <c r="P526" s="498">
        <f t="shared" ca="1" si="228"/>
        <v>98.338478300345017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IFERROR(__xludf.DUMMYFUNCTION("IMPORTRANGE(""https://docs.google.com/spreadsheets/d/1QqKyyYR6Q21VydFLVH3TRQUabQu_ym0Zz7PgGX0-kHA/edit?usp=sharing"",""แผน!GQ76"")"),440560)</f>
        <v>440560</v>
      </c>
      <c r="M528" s="93">
        <f ca="1">L528</f>
        <v>440560</v>
      </c>
      <c r="N528" s="93">
        <f>N529+N530+N531+N532</f>
        <v>433240</v>
      </c>
      <c r="O528" s="93">
        <f t="shared" ca="1" si="227"/>
        <v>98.338478300345017</v>
      </c>
      <c r="P528" s="93">
        <f t="shared" ca="1" si="228"/>
        <v>98.338478300345017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148220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250000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35020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IFERROR(__xludf.DUMMYFUNCTION("IMPORTRANGE(""https://docs.google.com/spreadsheets/d/1QqKyyYR6Q21VydFLVH3TRQUabQu_ym0Zz7PgGX0-kHA/edit?usp=sharing"",""แผน!GU76"")"),50)</f>
        <v>50</v>
      </c>
      <c r="J537" s="680">
        <f ca="1">IF(AND(J538=I538,J539=I539,J540=I540,J541=I541),I537,0)</f>
        <v>50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IFERROR(__xludf.DUMMYFUNCTION("IMPORTRANGE(""https://docs.google.com/spreadsheets/d/1QqKyyYR6Q21VydFLVH3TRQUabQu_ym0Zz7PgGX0-kHA/edit?usp=sharing"",""แผน!GV76"")"),50)</f>
        <v>50</v>
      </c>
      <c r="J538" s="215">
        <v>50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IFERROR(__xludf.DUMMYFUNCTION("IMPORTRANGE(""https://docs.google.com/spreadsheets/d/1QqKyyYR6Q21VydFLVH3TRQUabQu_ym0Zz7PgGX0-kHA/edit?usp=sharing"",""แผน!GW76"")"),50)</f>
        <v>50</v>
      </c>
      <c r="J539" s="215">
        <v>50</v>
      </c>
      <c r="K539" s="498">
        <f t="shared" ca="1" si="234"/>
        <v>100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IFERROR(__xludf.DUMMYFUNCTION("IMPORTRANGE(""https://docs.google.com/spreadsheets/d/1QqKyyYR6Q21VydFLVH3TRQUabQu_ym0Zz7PgGX0-kHA/edit?usp=sharing"",""แผน!GX76"")"),50)</f>
        <v>50</v>
      </c>
      <c r="J540" s="215">
        <v>50</v>
      </c>
      <c r="K540" s="498">
        <f t="shared" ca="1" si="234"/>
        <v>100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IFERROR(__xludf.DUMMYFUNCTION("IMPORTRANGE(""https://docs.google.com/spreadsheets/d/1QqKyyYR6Q21VydFLVH3TRQUabQu_ym0Zz7PgGX0-kHA/edit?usp=sharing"",""แผน!GY76"")"),0)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IFERROR(__xludf.DUMMYFUNCTION("IMPORTRANGE(""https://docs.google.com/spreadsheets/d/1QqKyyYR6Q21VydFLVH3TRQUabQu_ym0Zz7PgGX0-kHA/edit?usp=sharing"",""แผน!GZ76"")"),50)</f>
        <v>50</v>
      </c>
      <c r="J542" s="215">
        <v>50</v>
      </c>
      <c r="K542" s="498">
        <f t="shared" ca="1" si="234"/>
        <v>100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72063</v>
      </c>
      <c r="J543" s="686">
        <f t="shared" si="235"/>
        <v>72064</v>
      </c>
      <c r="K543" s="687">
        <f t="shared" ca="1" si="234"/>
        <v>100.00138767467355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759123</v>
      </c>
      <c r="M544" s="155">
        <f t="shared" ca="1" si="236"/>
        <v>759123</v>
      </c>
      <c r="N544" s="155">
        <f t="shared" si="236"/>
        <v>481371.82</v>
      </c>
      <c r="O544" s="155">
        <f t="shared" ref="O544:O549" ca="1" si="237">IF(L544&gt;0,N544*100/L544,0)</f>
        <v>63.411570983885355</v>
      </c>
      <c r="P544" s="155">
        <f t="shared" ref="P544:P549" ca="1" si="238">IF(M544&gt;0,N544*100/M544,0)</f>
        <v>63.411570983885355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759123</v>
      </c>
      <c r="M546" s="93">
        <f t="shared" ca="1" si="240"/>
        <v>759123</v>
      </c>
      <c r="N546" s="93">
        <f t="shared" si="240"/>
        <v>481371.82</v>
      </c>
      <c r="O546" s="93">
        <f t="shared" ca="1" si="237"/>
        <v>63.411570983885355</v>
      </c>
      <c r="P546" s="93">
        <f t="shared" ca="1" si="238"/>
        <v>63.411570983885355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759123</v>
      </c>
      <c r="M547" s="498">
        <f t="shared" ca="1" si="241"/>
        <v>759123</v>
      </c>
      <c r="N547" s="498">
        <f t="shared" si="241"/>
        <v>481371.82</v>
      </c>
      <c r="O547" s="498">
        <f t="shared" ca="1" si="237"/>
        <v>63.411570983885355</v>
      </c>
      <c r="P547" s="498">
        <f t="shared" ca="1" si="238"/>
        <v>63.411570983885355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IFERROR(__xludf.DUMMYFUNCTION("IMPORTRANGE(""https://docs.google.com/spreadsheets/d/1QqKyyYR6Q21VydFLVH3TRQUabQu_ym0Zz7PgGX0-kHA/edit?usp=sharing"",""แผน!HB76"")"),759123)</f>
        <v>759123</v>
      </c>
      <c r="M549" s="93">
        <f ca="1">L549</f>
        <v>759123</v>
      </c>
      <c r="N549" s="93">
        <f>N550+N551+N552+N553+N554</f>
        <v>481371.82</v>
      </c>
      <c r="O549" s="93">
        <f t="shared" ca="1" si="237"/>
        <v>63.411570983885355</v>
      </c>
      <c r="P549" s="93">
        <f t="shared" ca="1" si="238"/>
        <v>63.411570983885355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102701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378670.82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93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72063</v>
      </c>
      <c r="J559" s="707">
        <f t="shared" si="245"/>
        <v>72064</v>
      </c>
      <c r="K559" s="676">
        <f t="shared" ref="K559:K561" ca="1" si="246">IF(I559&gt;0,J559*100/I559,0)</f>
        <v>100.00138767467355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IFERROR(__xludf.DUMMYFUNCTION("IMPORTRANGE(""https://docs.google.com/spreadsheets/d/1QqKyyYR6Q21VydFLVH3TRQUabQu_ym0Zz7PgGX0-kHA/edit?usp=sharing"",""แผน!HH76"")"),72063)</f>
        <v>72063</v>
      </c>
      <c r="J560" s="193">
        <f t="shared" ref="J560:J561" si="247">J562+J564+J566</f>
        <v>72063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IFERROR(__xludf.DUMMYFUNCTION("IMPORTRANGE(""https://docs.google.com/spreadsheets/d/1QqKyyYR6Q21VydFLVH3TRQUabQu_ym0Zz7PgGX0-kHA/edit?usp=sharing"",""แผน!HG76"")"),5898)</f>
        <v>5898</v>
      </c>
      <c r="J561" s="193">
        <f t="shared" si="247"/>
        <v>5898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63211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5198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7386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567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1466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133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IFERROR(__xludf.DUMMYFUNCTION("IMPORTRANGE(""https://docs.google.com/spreadsheets/d/1QqKyyYR6Q21VydFLVH3TRQUabQu_ym0Zz7PgGX0-kHA/edit?usp=sharing"",""แผน!HH76"")"),72063)</f>
        <v>72063</v>
      </c>
      <c r="J568" s="680">
        <f t="shared" ref="J568:J569" si="248">J570+J572+J574</f>
        <v>72064</v>
      </c>
      <c r="K568" s="412">
        <f t="shared" ref="K568:K569" ca="1" si="249">IF(I568&gt;0,J568*100/I568,0)</f>
        <v>100.00138767467355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IFERROR(__xludf.DUMMYFUNCTION("IMPORTRANGE(""https://docs.google.com/spreadsheets/d/1QqKyyYR6Q21VydFLVH3TRQUabQu_ym0Zz7PgGX0-kHA/edit?usp=sharing"",""แผน!HG76"")"),5898)</f>
        <v>5898</v>
      </c>
      <c r="J569" s="680">
        <f t="shared" si="248"/>
        <v>5898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63638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5234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6893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529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1533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135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IFERROR(__xludf.DUMMYFUNCTION("IMPORTRANGE(""https://docs.google.com/spreadsheets/d/1QqKyyYR6Q21VydFLVH3TRQUabQu_ym0Zz7PgGX0-kHA/edit?usp=sharing"",""แผน!HH76"")"),72063)</f>
        <v>72063</v>
      </c>
      <c r="J576" s="680">
        <f t="shared" ref="J576:J577" si="250">J578+J580+J582+J588+J590</f>
        <v>72064</v>
      </c>
      <c r="K576" s="412">
        <f t="shared" ref="K576:K577" ca="1" si="251">IF(I576&gt;0,J576*100/I576,0)</f>
        <v>100.00138767467355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IFERROR(__xludf.DUMMYFUNCTION("IMPORTRANGE(""https://docs.google.com/spreadsheets/d/1QqKyyYR6Q21VydFLVH3TRQUabQu_ym0Zz7PgGX0-kHA/edit?usp=sharing"",""แผน!HG76"")"),5898)</f>
        <v>5898</v>
      </c>
      <c r="J577" s="680">
        <f t="shared" si="250"/>
        <v>5898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63638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5234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6893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529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1533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135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1533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135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/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/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11583.05</v>
      </c>
      <c r="J592" s="707">
        <f t="shared" si="253"/>
        <v>8939</v>
      </c>
      <c r="K592" s="676">
        <f t="shared" ref="K592:K594" ca="1" si="254">IF(I592&gt;0,J592*100/I592,0)</f>
        <v>77.173110709182822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IFERROR(__xludf.DUMMYFUNCTION("IMPORTRANGE(""https://docs.google.com/spreadsheets/d/1QqKyyYR6Q21VydFLVH3TRQUabQu_ym0Zz7PgGX0-kHA/edit?usp=sharing"",""แผน!HJ76"")"),11583.05)</f>
        <v>11583.05</v>
      </c>
      <c r="J593" s="193">
        <f t="shared" ref="J593:J594" si="255">J595+J603+J609</f>
        <v>8939</v>
      </c>
      <c r="K593" s="412">
        <f t="shared" ca="1" si="254"/>
        <v>77.173110709182822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IFERROR(__xludf.DUMMYFUNCTION("IMPORTRANGE(""https://docs.google.com/spreadsheets/d/1QqKyyYR6Q21VydFLVH3TRQUabQu_ym0Zz7PgGX0-kHA/edit?usp=sharing"",""แผน!HI76"")"),1156)</f>
        <v>1156</v>
      </c>
      <c r="J594" s="193">
        <f t="shared" si="255"/>
        <v>884</v>
      </c>
      <c r="K594" s="412">
        <f t="shared" ca="1" si="254"/>
        <v>76.470588235294116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8935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883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8926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881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9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2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4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1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4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IFERROR(__xludf.DUMMYFUNCTION("IMPORTRANGE(""https://docs.google.com/spreadsheets/d/1QqKyyYR6Q21VydFLVH3TRQUabQu_ym0Zz7PgGX0-kHA/edit?usp=sharing"",""แผน!HL76"")"),0)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IFERROR(__xludf.DUMMYFUNCTION("IMPORTRANGE(""https://docs.google.com/spreadsheets/d/1QqKyyYR6Q21VydFLVH3TRQUabQu_ym0Zz7PgGX0-kHA/edit?usp=sharing"",""แผน!HK76"")"),0)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IFERROR(__xludf.DUMMYFUNCTION("IMPORTRANGE(""https://docs.google.com/spreadsheets/d/1QqKyyYR6Q21VydFLVH3TRQUabQu_ym0Zz7PgGX0-kHA/edit?usp=sharing"",""แผน!HN76"")"),0)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IFERROR(__xludf.DUMMYFUNCTION("IMPORTRANGE(""https://docs.google.com/spreadsheets/d/1QqKyyYR6Q21VydFLVH3TRQUabQu_ym0Zz7PgGX0-kHA/edit?usp=sharing"",""แผน!HR76"")"),0)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IFERROR(__xludf.DUMMYFUNCTION("IMPORTRANGE(""https://docs.google.com/spreadsheets/d/1XWAQStnk-4SwqDmLtmXYiTMKHgktTP8We1SCoS47DrQ/edit?usp=sharing"",""จัดที่ดิน!AS76"")"),0)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IFERROR(__xludf.DUMMYFUNCTION("IMPORTRANGE(""https://docs.google.com/spreadsheets/d/1XWAQStnk-4SwqDmLtmXYiTMKHgktTP8We1SCoS47DrQ/edit?usp=sharing"",""จัดที่ดิน!AT76"")"),0)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IFERROR(__xludf.DUMMYFUNCTION("IMPORTRANGE(""https://docs.google.com/spreadsheets/d/1QqKyyYR6Q21VydFLVH3TRQUabQu_ym0Zz7PgGX0-kHA/edit?usp=sharing"",""แผน!HS76"")"),0)</f>
        <v>0</v>
      </c>
      <c r="J647" s="270">
        <f ca="1">IFERROR(__xludf.DUMMYFUNCTION("IMPORTRANGE(""https://docs.google.com/spreadsheets/d/1XWAQStnk-4SwqDmLtmXYiTMKHgktTP8We1SCoS47DrQ/edit?usp=sharing"",""จัดที่ดิน!AU76"")"),0)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IFERROR(__xludf.DUMMYFUNCTION("IMPORTRANGE(""https://docs.google.com/spreadsheets/d/1XWAQStnk-4SwqDmLtmXYiTMKHgktTP8We1SCoS47DrQ/edit?usp=sharing"",""จัดที่ดิน!AV76"")"),0)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IFERROR(__xludf.DUMMYFUNCTION("IMPORTRANGE(""https://docs.google.com/spreadsheets/d/1QqKyyYR6Q21VydFLVH3TRQUabQu_ym0Zz7PgGX0-kHA/edit?usp=sharing"",""แผน!HS76"")"),0)</f>
        <v>0</v>
      </c>
      <c r="J649" s="270">
        <f ca="1">IFERROR(__xludf.DUMMYFUNCTION("IMPORTRANGE(""https://docs.google.com/spreadsheets/d/1XWAQStnk-4SwqDmLtmXYiTMKHgktTP8We1SCoS47DrQ/edit?usp=sharing"",""จัดที่ดิน!AW76"")"),0)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IFERROR(__xludf.DUMMYFUNCTION("IMPORTRANGE(""https://docs.google.com/spreadsheets/d/1XWAQStnk-4SwqDmLtmXYiTMKHgktTP8We1SCoS47DrQ/edit?usp=sharing"",""จัดที่ดิน!AX76"")"),0)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IFERROR(__xludf.DUMMYFUNCTION("IMPORTRANGE(""https://docs.google.com/spreadsheets/d/1QqKyyYR6Q21VydFLVH3TRQUabQu_ym0Zz7PgGX0-kHA/edit?usp=sharing"",""แผน!HS76"")"),0)</f>
        <v>0</v>
      </c>
      <c r="J651" s="270">
        <f ca="1">IFERROR(__xludf.DUMMYFUNCTION("IMPORTRANGE(""https://docs.google.com/spreadsheets/d/1XWAQStnk-4SwqDmLtmXYiTMKHgktTP8We1SCoS47DrQ/edit?usp=sharing"",""จัดที่ดิน!AY76"")"),0)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IFERROR(__xludf.DUMMYFUNCTION("IMPORTRANGE(""https://docs.google.com/spreadsheets/d/1XWAQStnk-4SwqDmLtmXYiTMKHgktTP8We1SCoS47DrQ/edit?usp=sharing"",""จัดที่ดิน!AZ76"")"),0)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IFERROR(__xludf.DUMMYFUNCTION("IMPORTRANGE(""https://docs.google.com/spreadsheets/d/1QqKyyYR6Q21VydFLVH3TRQUabQu_ym0Zz7PgGX0-kHA/edit?usp=sharing"",""แผน!IA76"")"),0)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IFERROR(__xludf.DUMMYFUNCTION("IMPORTRANGE(""https://docs.google.com/spreadsheets/d/1QqKyyYR6Q21VydFLVH3TRQUabQu_ym0Zz7PgGX0-kHA/edit?usp=sharing"",""แผน!HZ76"")"),0)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IFERROR(__xludf.DUMMYFUNCTION("IMPORTRANGE(""https://docs.google.com/spreadsheets/d/1QqKyyYR6Q21VydFLVH3TRQUabQu_ym0Zz7PgGX0-kHA/edit?usp=sharing"",""แผน!HZ76"")"),0)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IFERROR(__xludf.DUMMYFUNCTION("IMPORTRANGE(""https://docs.google.com/spreadsheets/d/1QqKyyYR6Q21VydFLVH3TRQUabQu_ym0Zz7PgGX0-kHA/edit?usp=sharing"",""แผน!IB76"")"),0)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IFERROR(__xludf.DUMMYFUNCTION("IMPORTRANGE(""https://docs.google.com/spreadsheets/d/1QqKyyYR6Q21VydFLVH3TRQUabQu_ym0Zz7PgGX0-kHA/edit?usp=sharing"",""แผน!IC76"")"),0)</f>
        <v>0</v>
      </c>
      <c r="J699" s="270">
        <f ca="1">IFERROR(__xludf.DUMMYFUNCTION("IMPORTRANGE(""https://docs.google.com/spreadsheets/d/1XWAQStnk-4SwqDmLtmXYiTMKHgktTP8We1SCoS47DrQ/edit?usp=sharing"",""จัดที่ดิน!BB76"")"),0)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IFERROR(__xludf.DUMMYFUNCTION("IMPORTRANGE(""https://docs.google.com/spreadsheets/d/1QqKyyYR6Q21VydFLVH3TRQUabQu_ym0Zz7PgGX0-kHA/edit?usp=sharing"",""แผน!ID76"")"),0)</f>
        <v>0</v>
      </c>
      <c r="J700" s="270">
        <f ca="1">IFERROR(__xludf.DUMMYFUNCTION("IMPORTRANGE(""https://docs.google.com/spreadsheets/d/1XWAQStnk-4SwqDmLtmXYiTMKHgktTP8We1SCoS47DrQ/edit?usp=sharing"",""จัดที่ดิน!BD76"")"),0)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IFERROR(__xludf.DUMMYFUNCTION("IMPORTRANGE(""https://docs.google.com/spreadsheets/d/1QqKyyYR6Q21VydFLVH3TRQUabQu_ym0Zz7PgGX0-kHA/edit?usp=sharing"",""แผน!IE76"")"),0)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IFERROR(__xludf.DUMMYFUNCTION("IMPORTRANGE(""https://docs.google.com/spreadsheets/d/1QqKyyYR6Q21VydFLVH3TRQUabQu_ym0Zz7PgGX0-kHA/edit?usp=sharing"",""แผน!IF76"")"),0)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IFERROR(__xludf.DUMMYFUNCTION("IMPORTRANGE(""https://docs.google.com/spreadsheets/d/1QqKyyYR6Q21VydFLVH3TRQUabQu_ym0Zz7PgGX0-kHA/edit?usp=sharing"",""แผน!IG76"")"),0)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IFERROR(__xludf.DUMMYFUNCTION("IMPORTRANGE(""https://docs.google.com/spreadsheets/d/1QqKyyYR6Q21VydFLVH3TRQUabQu_ym0Zz7PgGX0-kHA/edit?usp=sharing"",""แผน!IH76"")"),0)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IFERROR(__xludf.DUMMYFUNCTION("IMPORTRANGE(""https://docs.google.com/spreadsheets/d/1XWAQStnk-4SwqDmLtmXYiTMKHgktTP8We1SCoS47DrQ/edit?usp=sharing"",""จัดที่ดิน!BF76"")"),0)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IFERROR(__xludf.DUMMYFUNCTION("IMPORTRANGE(""https://docs.google.com/spreadsheets/d/1XWAQStnk-4SwqDmLtmXYiTMKHgktTP8We1SCoS47DrQ/edit?usp=sharing"",""จัดที่ดิน!BG76"")"),0)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IFERROR(__xludf.DUMMYFUNCTION("IMPORTRANGE(""https://docs.google.com/spreadsheets/d/1QqKyyYR6Q21VydFLVH3TRQUabQu_ym0Zz7PgGX0-kHA/edit?usp=sharing"",""แผน!II76"")"),0)</f>
        <v>0</v>
      </c>
      <c r="J720" s="270">
        <f ca="1">IFERROR(__xludf.DUMMYFUNCTION("IMPORTRANGE(""https://docs.google.com/spreadsheets/d/1XWAQStnk-4SwqDmLtmXYiTMKHgktTP8We1SCoS47DrQ/edit?usp=sharing"",""จัดที่ดิน!BH76"")"),0)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IFERROR(__xludf.DUMMYFUNCTION("IMPORTRANGE(""https://docs.google.com/spreadsheets/d/1QqKyyYR6Q21VydFLVH3TRQUabQu_ym0Zz7PgGX0-kHA/edit?usp=sharing"",""แผน!IJ76"")"),0)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IFERROR(__xludf.DUMMYFUNCTION("IMPORTRANGE(""https://docs.google.com/spreadsheets/d/1QqKyyYR6Q21VydFLVH3TRQUabQu_ym0Zz7PgGX0-kHA/edit?usp=sharing"",""แผน!IK76"")"),0)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IFERROR(__xludf.DUMMYFUNCTION("IMPORTRANGE(""https://docs.google.com/spreadsheets/d/1QqKyyYR6Q21VydFLVH3TRQUabQu_ym0Zz7PgGX0-kHA/edit?usp=sharing"",""แผน!IL76"")"),0)</f>
        <v>0</v>
      </c>
      <c r="J723" s="270">
        <f ca="1">IFERROR(__xludf.DUMMYFUNCTION("IMPORTRANGE(""https://docs.google.com/spreadsheets/d/1XWAQStnk-4SwqDmLtmXYiTMKHgktTP8We1SCoS47DrQ/edit?usp=sharing"",""จัดที่ดิน!BM76"")"),0)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IFERROR(__xludf.DUMMYFUNCTION("IMPORTRANGE(""https://docs.google.com/spreadsheets/d/1XWAQStnk-4SwqDmLtmXYiTMKHgktTP8We1SCoS47DrQ/edit?usp=sharing"",""จัดที่ดิน!BN76"")"),0)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IFERROR(__xludf.DUMMYFUNCTION("IMPORTRANGE(""https://docs.google.com/spreadsheets/d/1QqKyyYR6Q21VydFLVH3TRQUabQu_ym0Zz7PgGX0-kHA/edit?usp=sharing"",""แผน!IM76"")"),0)</f>
        <v>0</v>
      </c>
      <c r="J725" s="270">
        <f ca="1">IFERROR(__xludf.DUMMYFUNCTION("IMPORTRANGE(""https://docs.google.com/spreadsheets/d/1XWAQStnk-4SwqDmLtmXYiTMKHgktTP8We1SCoS47DrQ/edit?usp=sharing"",""จัดที่ดิน!BO76"")"),0)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IFERROR(__xludf.DUMMYFUNCTION("IMPORTRANGE(""https://docs.google.com/spreadsheets/d/1QqKyyYR6Q21VydFLVH3TRQUabQu_ym0Zz7PgGX0-kHA/edit?usp=sharing"",""แผน!IN76"")"),0)</f>
        <v>0</v>
      </c>
      <c r="J726" s="270">
        <f ca="1">IFERROR(__xludf.DUMMYFUNCTION("IMPORTRANGE(""https://docs.google.com/spreadsheets/d/1XWAQStnk-4SwqDmLtmXYiTMKHgktTP8We1SCoS47DrQ/edit?usp=sharing"",""จัดที่ดิน!BR76"")"),0)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IFERROR(__xludf.DUMMYFUNCTION("IMPORTRANGE(""https://docs.google.com/spreadsheets/d/1XWAQStnk-4SwqDmLtmXYiTMKHgktTP8We1SCoS47DrQ/edit?usp=sharing"",""จัดที่ดิน!BS76"")"),0)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IFERROR(__xludf.DUMMYFUNCTION("IMPORTRANGE(""https://docs.google.com/spreadsheets/d/1QqKyyYR6Q21VydFLVH3TRQUabQu_ym0Zz7PgGX0-kHA/edit?usp=sharing"",""แผน!IO76"")"),0)</f>
        <v>0</v>
      </c>
      <c r="J728" s="270">
        <f ca="1">IFERROR(__xludf.DUMMYFUNCTION("IMPORTRANGE(""https://docs.google.com/spreadsheets/d/1XWAQStnk-4SwqDmLtmXYiTMKHgktTP8We1SCoS47DrQ/edit?usp=sharing"",""จัดที่ดิน!BT76"")"),0)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IFERROR(__xludf.DUMMYFUNCTION("IMPORTRANGE(""https://docs.google.com/spreadsheets/d/1QqKyyYR6Q21VydFLVH3TRQUabQu_ym0Zz7PgGX0-kHA/edit?usp=sharing"",""แผน!IP76"")"),0)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IFERROR(__xludf.DUMMYFUNCTION("IMPORTRANGE(""https://docs.google.com/spreadsheets/d/1QqKyyYR6Q21VydFLVH3TRQUabQu_ym0Zz7PgGX0-kHA/edit?usp=sharing"",""แผน!JN76"")"),0)</f>
        <v>0</v>
      </c>
      <c r="J800" s="184">
        <f ca="1">IFERROR(__xludf.DUMMYFUNCTION("IMPORTRANGE(""https://docs.google.com/spreadsheets/d/1MaWodYyGHDf7siQLGxnXhG4mBNTNIuy296niS2xXulU/edit?usp=sharing"",""RTK!H76"")"),0)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IFERROR(__xludf.DUMMYFUNCTION("IMPORTRANGE(""https://docs.google.com/spreadsheets/d/1MaWodYyGHDf7siQLGxnXhG4mBNTNIuy296niS2xXulU/edit?usp=sharing"",""RTK!I76"")"),0)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335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IFERROR(__xludf.DUMMYFUNCTION("IMPORTRANGE(""https://docs.google.com/spreadsheets/d/19vJNZY_5yjcGF2XGBMNZRCAIB0Kwfpjp8YEOfu-bneM/edit?usp=sharing"",""งานกองทุน!D76"")"),1126506.86)</f>
        <v>1126506.8600000001</v>
      </c>
      <c r="J821" s="270">
        <f ca="1">IFERROR(__xludf.DUMMYFUNCTION("IMPORTRANGE(""https://docs.google.com/spreadsheets/d/19vJNZY_5yjcGF2XGBMNZRCAIB0Kwfpjp8YEOfu-bneM/edit?usp=sharing"",""งานกองทุน!F76"")"),942523.85)</f>
        <v>942523.85</v>
      </c>
      <c r="K821" s="498">
        <f t="shared" ref="K821:K828" ca="1" si="335">IF(I821&gt;0,J821*100/I821,0)</f>
        <v>83.667830482630166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IFERROR(__xludf.DUMMYFUNCTION("IMPORTRANGE(""https://docs.google.com/spreadsheets/d/19vJNZY_5yjcGF2XGBMNZRCAIB0Kwfpjp8YEOfu-bneM/edit?usp=sharing"",""งานกองทุน!C76"")"),113)</f>
        <v>113</v>
      </c>
      <c r="J822" s="270">
        <f ca="1">IFERROR(__xludf.DUMMYFUNCTION("IMPORTRANGE(""https://docs.google.com/spreadsheets/d/19vJNZY_5yjcGF2XGBMNZRCAIB0Kwfpjp8YEOfu-bneM/edit?usp=sharing"",""งานกองทุน!E76"")"),87)</f>
        <v>87</v>
      </c>
      <c r="K822" s="498">
        <f t="shared" ca="1" si="335"/>
        <v>76.991150442477874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IFERROR(__xludf.DUMMYFUNCTION("IMPORTRANGE(""https://docs.google.com/spreadsheets/d/19vJNZY_5yjcGF2XGBMNZRCAIB0Kwfpjp8YEOfu-bneM/edit?usp=sharing"",""งานกองทุน!I76"")"),455877.81)</f>
        <v>455877.81</v>
      </c>
      <c r="J823" s="270">
        <f ca="1">IFERROR(__xludf.DUMMYFUNCTION("IMPORTRANGE(""https://docs.google.com/spreadsheets/d/19vJNZY_5yjcGF2XGBMNZRCAIB0Kwfpjp8YEOfu-bneM/edit?usp=sharing"",""งานกองทุน!K76"")"),172004.48)</f>
        <v>172004.48000000001</v>
      </c>
      <c r="K823" s="498">
        <f t="shared" ca="1" si="335"/>
        <v>37.73039095717337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IFERROR(__xludf.DUMMYFUNCTION("IMPORTRANGE(""https://docs.google.com/spreadsheets/d/19vJNZY_5yjcGF2XGBMNZRCAIB0Kwfpjp8YEOfu-bneM/edit?usp=sharing"",""งานกองทุน!H76"")"),19)</f>
        <v>19</v>
      </c>
      <c r="J824" s="270">
        <f ca="1">IFERROR(__xludf.DUMMYFUNCTION("IMPORTRANGE(""https://docs.google.com/spreadsheets/d/19vJNZY_5yjcGF2XGBMNZRCAIB0Kwfpjp8YEOfu-bneM/edit?usp=sharing"",""งานกองทุน!J76"")"),9)</f>
        <v>9</v>
      </c>
      <c r="K824" s="498">
        <f t="shared" ca="1" si="335"/>
        <v>47.368421052631582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IFERROR(__xludf.DUMMYFUNCTION("IMPORTRANGE(""https://docs.google.com/spreadsheets/d/19vJNZY_5yjcGF2XGBMNZRCAIB0Kwfpjp8YEOfu-bneM/edit?usp=sharing"",""งานกองทุน!N76"")"),0)</f>
        <v>0</v>
      </c>
      <c r="J825" s="270">
        <f ca="1">IFERROR(__xludf.DUMMYFUNCTION("IMPORTRANGE(""https://docs.google.com/spreadsheets/d/19vJNZY_5yjcGF2XGBMNZRCAIB0Kwfpjp8YEOfu-bneM/edit?usp=sharing"",""งานกองทุน!P76"")"),0)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IFERROR(__xludf.DUMMYFUNCTION("IMPORTRANGE(""https://docs.google.com/spreadsheets/d/19vJNZY_5yjcGF2XGBMNZRCAIB0Kwfpjp8YEOfu-bneM/edit?usp=sharing"",""งานกองทุน!M76"")"),0)</f>
        <v>0</v>
      </c>
      <c r="J826" s="270">
        <f ca="1">IFERROR(__xludf.DUMMYFUNCTION("IMPORTRANGE(""https://docs.google.com/spreadsheets/d/19vJNZY_5yjcGF2XGBMNZRCAIB0Kwfpjp8YEOfu-bneM/edit?usp=sharing"",""งานกองทุน!O76"")"),0)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IFERROR(__xludf.DUMMYFUNCTION("IMPORTRANGE(""https://docs.google.com/spreadsheets/d/19vJNZY_5yjcGF2XGBMNZRCAIB0Kwfpjp8YEOfu-bneM/edit?usp=sharing"",""งานกองทุน!S76"")"),1050000)</f>
        <v>1050000</v>
      </c>
      <c r="J827" s="270">
        <f ca="1">IFERROR(__xludf.DUMMYFUNCTION("IMPORTRANGE(""https://docs.google.com/spreadsheets/d/19vJNZY_5yjcGF2XGBMNZRCAIB0Kwfpjp8YEOfu-bneM/edit?usp=sharing"",""งานกองทุน!U76"")"),1260000)</f>
        <v>1260000</v>
      </c>
      <c r="K827" s="498">
        <f t="shared" ca="1" si="335"/>
        <v>120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IFERROR(__xludf.DUMMYFUNCTION("IMPORTRANGE(""https://docs.google.com/spreadsheets/d/19vJNZY_5yjcGF2XGBMNZRCAIB0Kwfpjp8YEOfu-bneM/edit?usp=sharing"",""งานกองทุน!R76"")"),42)</f>
        <v>42</v>
      </c>
      <c r="J828" s="505">
        <f ca="1">IFERROR(__xludf.DUMMYFUNCTION("IMPORTRANGE(""https://docs.google.com/spreadsheets/d/19vJNZY_5yjcGF2XGBMNZRCAIB0Kwfpjp8YEOfu-bneM/edit?usp=sharing"",""งานกองทุน!T76"")"),42)</f>
        <v>42</v>
      </c>
      <c r="K828" s="506">
        <f t="shared" ca="1" si="335"/>
        <v>100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00BAF-4618-43D9-8EB1-DF8FF480059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336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3539657</v>
      </c>
      <c r="M8" s="22">
        <f t="shared" ca="1" si="0"/>
        <v>3674232.7</v>
      </c>
      <c r="N8" s="22">
        <f t="shared" ca="1" si="0"/>
        <v>2622513.27</v>
      </c>
      <c r="O8" s="22">
        <f t="shared" ref="O8:O16" ca="1" si="1">IF(L8&gt;0,N8*100/L8,0)</f>
        <v>74.089474488629833</v>
      </c>
      <c r="P8" s="22">
        <f t="shared" ref="P8:P16" ca="1" si="2">IF(M8&gt;0,N8*100/M8,0)</f>
        <v>71.375807797911108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3539657</v>
      </c>
      <c r="M10" s="30">
        <f t="shared" ca="1" si="3"/>
        <v>3674232.7</v>
      </c>
      <c r="N10" s="30">
        <f t="shared" ca="1" si="3"/>
        <v>2622513.27</v>
      </c>
      <c r="O10" s="30">
        <f t="shared" ca="1" si="1"/>
        <v>74.089474488629833</v>
      </c>
      <c r="P10" s="30">
        <f t="shared" ca="1" si="2"/>
        <v>71.375807797911108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3410057</v>
      </c>
      <c r="M11" s="498">
        <f t="shared" ca="1" si="4"/>
        <v>3544632.7</v>
      </c>
      <c r="N11" s="498">
        <f t="shared" ca="1" si="4"/>
        <v>2492913.27</v>
      </c>
      <c r="O11" s="498">
        <f t="shared" ca="1" si="1"/>
        <v>73.104739011693937</v>
      </c>
      <c r="P11" s="498">
        <f t="shared" ca="1" si="2"/>
        <v>70.329240882983441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3410057</v>
      </c>
      <c r="M13" s="93">
        <f t="shared" ca="1" si="5"/>
        <v>3544632.7</v>
      </c>
      <c r="N13" s="93">
        <f t="shared" ca="1" si="5"/>
        <v>2492913.27</v>
      </c>
      <c r="O13" s="93">
        <f t="shared" ca="1" si="1"/>
        <v>73.104739011693937</v>
      </c>
      <c r="P13" s="93">
        <f t="shared" ca="1" si="2"/>
        <v>70.329240882983441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129600</v>
      </c>
      <c r="M14" s="498">
        <f t="shared" ca="1" si="6"/>
        <v>129600</v>
      </c>
      <c r="N14" s="498">
        <f t="shared" ca="1" si="6"/>
        <v>129600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129600</v>
      </c>
      <c r="M16" s="52">
        <f t="shared" ca="1" si="7"/>
        <v>129600</v>
      </c>
      <c r="N16" s="52">
        <f t="shared" ca="1" si="7"/>
        <v>129600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2695565</v>
      </c>
      <c r="M18" s="22">
        <f t="shared" ca="1" si="8"/>
        <v>2830140.7</v>
      </c>
      <c r="N18" s="22">
        <f t="shared" ca="1" si="8"/>
        <v>2205899.17</v>
      </c>
      <c r="O18" s="22">
        <f t="shared" ref="O18:O26" ca="1" si="9">IF(L18&gt;0,N18*100/L18,0)</f>
        <v>81.834389821799888</v>
      </c>
      <c r="P18" s="22">
        <f t="shared" ref="P18:P26" ca="1" si="10">IF(M18&gt;0,N18*100/M18,0)</f>
        <v>77.943092016591251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2695565</v>
      </c>
      <c r="M20" s="30">
        <f t="shared" ca="1" si="11"/>
        <v>2830140.7</v>
      </c>
      <c r="N20" s="30">
        <f t="shared" ca="1" si="11"/>
        <v>2205899.17</v>
      </c>
      <c r="O20" s="30">
        <f t="shared" ca="1" si="9"/>
        <v>81.834389821799888</v>
      </c>
      <c r="P20" s="30">
        <f t="shared" ca="1" si="10"/>
        <v>77.943092016591251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2565965</v>
      </c>
      <c r="M21" s="498">
        <f t="shared" ca="1" si="12"/>
        <v>2700540.7</v>
      </c>
      <c r="N21" s="498">
        <f t="shared" ca="1" si="12"/>
        <v>2076299.17</v>
      </c>
      <c r="O21" s="498">
        <f t="shared" ca="1" si="9"/>
        <v>80.916893644301467</v>
      </c>
      <c r="P21" s="498">
        <f t="shared" ca="1" si="10"/>
        <v>76.884572411739612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2565965</v>
      </c>
      <c r="M23" s="93">
        <f t="shared" ca="1" si="13"/>
        <v>2700540.7</v>
      </c>
      <c r="N23" s="93">
        <f t="shared" ca="1" si="13"/>
        <v>2076299.17</v>
      </c>
      <c r="O23" s="93">
        <f t="shared" ca="1" si="9"/>
        <v>80.916893644301467</v>
      </c>
      <c r="P23" s="93">
        <f t="shared" ca="1" si="10"/>
        <v>76.884572411739612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129600</v>
      </c>
      <c r="M24" s="498">
        <f t="shared" ca="1" si="14"/>
        <v>129600</v>
      </c>
      <c r="N24" s="498">
        <f t="shared" ca="1" si="14"/>
        <v>129600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129600</v>
      </c>
      <c r="M26" s="52">
        <f t="shared" ca="1" si="15"/>
        <v>129600</v>
      </c>
      <c r="N26" s="52">
        <f t="shared" ca="1" si="15"/>
        <v>129600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844092</v>
      </c>
      <c r="M28" s="22">
        <f t="shared" ca="1" si="16"/>
        <v>844092</v>
      </c>
      <c r="N28" s="22">
        <f t="shared" si="16"/>
        <v>416614.1</v>
      </c>
      <c r="O28" s="22">
        <f t="shared" ref="O28:O37" ca="1" si="17">IF(L28&gt;0,N28*100/L28,0)</f>
        <v>49.356480099325665</v>
      </c>
      <c r="P28" s="22">
        <f t="shared" ref="P28:P37" ca="1" si="18">IF(M28&gt;0,N28*100/M28,0)</f>
        <v>49.356480099325665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844092</v>
      </c>
      <c r="M30" s="30">
        <f t="shared" ca="1" si="19"/>
        <v>844092</v>
      </c>
      <c r="N30" s="30">
        <f t="shared" si="19"/>
        <v>416614.1</v>
      </c>
      <c r="O30" s="30">
        <f t="shared" ca="1" si="17"/>
        <v>49.356480099325665</v>
      </c>
      <c r="P30" s="30">
        <f t="shared" ca="1" si="18"/>
        <v>49.356480099325665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844092</v>
      </c>
      <c r="M31" s="498">
        <f t="shared" ca="1" si="20"/>
        <v>844092</v>
      </c>
      <c r="N31" s="498">
        <f t="shared" si="20"/>
        <v>416614.1</v>
      </c>
      <c r="O31" s="498">
        <f t="shared" ca="1" si="17"/>
        <v>49.356480099325665</v>
      </c>
      <c r="P31" s="498">
        <f t="shared" ca="1" si="18"/>
        <v>49.356480099325665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844092</v>
      </c>
      <c r="M33" s="93">
        <f t="shared" ca="1" si="21"/>
        <v>844092</v>
      </c>
      <c r="N33" s="93">
        <f t="shared" si="21"/>
        <v>416614.1</v>
      </c>
      <c r="O33" s="93">
        <f t="shared" ca="1" si="17"/>
        <v>49.356480099325665</v>
      </c>
      <c r="P33" s="93">
        <f t="shared" ca="1" si="18"/>
        <v>49.356480099325665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2695565</v>
      </c>
      <c r="M37" s="858">
        <f t="shared" ca="1" si="24"/>
        <v>2830140.7</v>
      </c>
      <c r="N37" s="858">
        <f t="shared" ca="1" si="24"/>
        <v>2205899.17</v>
      </c>
      <c r="O37" s="858">
        <f t="shared" ca="1" si="17"/>
        <v>81.834389821799888</v>
      </c>
      <c r="P37" s="858">
        <f t="shared" ca="1" si="18"/>
        <v>77.943092016591251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342700</v>
      </c>
      <c r="M41" s="85">
        <f t="shared" ca="1" si="25"/>
        <v>358725.7</v>
      </c>
      <c r="N41" s="85">
        <f t="shared" ca="1" si="25"/>
        <v>297864.25</v>
      </c>
      <c r="O41" s="85">
        <f t="shared" ref="O41:O49" ca="1" si="26">IF(L41&gt;0,N41*100/L41,0)</f>
        <v>86.91690983367377</v>
      </c>
      <c r="P41" s="85">
        <f t="shared" ref="P41:P49" ca="1" si="27">IF(M41&gt;0,N41*100/M41,0)</f>
        <v>83.033986692339013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342700</v>
      </c>
      <c r="M43" s="92">
        <f t="shared" ca="1" si="28"/>
        <v>358725.7</v>
      </c>
      <c r="N43" s="92">
        <f t="shared" ca="1" si="28"/>
        <v>297864.25</v>
      </c>
      <c r="O43" s="92">
        <f t="shared" ca="1" si="26"/>
        <v>86.91690983367377</v>
      </c>
      <c r="P43" s="92">
        <f t="shared" ca="1" si="27"/>
        <v>83.033986692339013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342700</v>
      </c>
      <c r="M44" s="498">
        <f t="shared" ca="1" si="29"/>
        <v>358725.7</v>
      </c>
      <c r="N44" s="498">
        <f t="shared" ca="1" si="29"/>
        <v>297864.25</v>
      </c>
      <c r="O44" s="498">
        <f t="shared" ca="1" si="26"/>
        <v>86.91690983367377</v>
      </c>
      <c r="P44" s="498">
        <f t="shared" ca="1" si="27"/>
        <v>83.033986692339013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IFERROR(__xludf.DUMMYFUNCTION("IMPORTRANGE(""https://docs.google.com/spreadsheets/d/1MeEWN-I1oV_STSDYn1IFDPWt_1FKiwhDph83XaGc0o0/edit?usp=sharing"",""งบพรบ!M77"")"),342700)</f>
        <v>342700</v>
      </c>
      <c r="M46" s="93">
        <f ca="1">IFERROR(__xludf.DUMMYFUNCTION("IMPORTRANGE(""https://docs.google.com/spreadsheets/d/1MeEWN-I1oV_STSDYn1IFDPWt_1FKiwhDph83XaGc0o0/edit?usp=sharing"",""งบพรบ!R77"")"),358725.7)</f>
        <v>358725.7</v>
      </c>
      <c r="N46" s="93">
        <f ca="1">IFERROR(__xludf.DUMMYFUNCTION("IMPORTRANGE(""https://docs.google.com/spreadsheets/d/1MeEWN-I1oV_STSDYn1IFDPWt_1FKiwhDph83XaGc0o0/edit?usp=sharing"",""งบพรบ!T77"")"),297864.25)</f>
        <v>297864.25</v>
      </c>
      <c r="O46" s="93">
        <f t="shared" ca="1" si="26"/>
        <v>86.91690983367377</v>
      </c>
      <c r="P46" s="93">
        <f t="shared" ca="1" si="27"/>
        <v>83.033986692339013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IFERROR(__xludf.DUMMYFUNCTION("IMPORTRANGE(""https://docs.google.com/spreadsheets/d/1MeEWN-I1oV_STSDYn1IFDPWt_1FKiwhDph83XaGc0o0/edit?usp=sharing"",""งบพรบ!P77"")"),0)</f>
        <v>0</v>
      </c>
      <c r="M49" s="52">
        <f ca="1">IFERROR(__xludf.DUMMYFUNCTION("IMPORTRANGE(""https://docs.google.com/spreadsheets/d/1MeEWN-I1oV_STSDYn1IFDPWt_1FKiwhDph83XaGc0o0/edit?usp=sharing"",""งบพรบ!S77"")"),0)</f>
        <v>0</v>
      </c>
      <c r="N49" s="52">
        <f ca="1">IFERROR(__xludf.DUMMYFUNCTION("IMPORTRANGE(""https://docs.google.com/spreadsheets/d/1MeEWN-I1oV_STSDYn1IFDPWt_1FKiwhDph83XaGc0o0/edit?usp=sharing"",""งบพรบ!U77"")"),0)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728300</v>
      </c>
      <c r="M53" s="116">
        <f t="shared" ca="1" si="31"/>
        <v>759300</v>
      </c>
      <c r="N53" s="116">
        <f t="shared" ca="1" si="31"/>
        <v>679812.01</v>
      </c>
      <c r="O53" s="116">
        <f t="shared" ref="O53:O61" ca="1" si="32">IF(L53&gt;0,N53*100/L53,0)</f>
        <v>93.342305368666757</v>
      </c>
      <c r="P53" s="116">
        <f t="shared" ref="P53:P61" ca="1" si="33">IF(M53&gt;0,N53*100/M53,0)</f>
        <v>89.531411826682472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728300</v>
      </c>
      <c r="M55" s="123">
        <f t="shared" ca="1" si="34"/>
        <v>759300</v>
      </c>
      <c r="N55" s="123">
        <f t="shared" ca="1" si="34"/>
        <v>679812.01</v>
      </c>
      <c r="O55" s="123">
        <f t="shared" ca="1" si="32"/>
        <v>93.342305368666757</v>
      </c>
      <c r="P55" s="123">
        <f t="shared" ca="1" si="33"/>
        <v>89.531411826682472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728300</v>
      </c>
      <c r="M56" s="498">
        <f t="shared" ca="1" si="35"/>
        <v>759300</v>
      </c>
      <c r="N56" s="498">
        <f t="shared" ca="1" si="35"/>
        <v>679812.01</v>
      </c>
      <c r="O56" s="498">
        <f t="shared" ca="1" si="32"/>
        <v>93.342305368666757</v>
      </c>
      <c r="P56" s="498">
        <f t="shared" ca="1" si="33"/>
        <v>89.531411826682472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IFERROR(__xludf.DUMMYFUNCTION("IMPORTRANGE(""https://docs.google.com/spreadsheets/d/1MeEWN-I1oV_STSDYn1IFDPWt_1FKiwhDph83XaGc0o0/edit?usp=sharing"",""งบพรบ!W77"")"),728300)</f>
        <v>728300</v>
      </c>
      <c r="M58" s="93">
        <f ca="1">IFERROR(__xludf.DUMMYFUNCTION("IMPORTRANGE(""https://docs.google.com/spreadsheets/d/1MeEWN-I1oV_STSDYn1IFDPWt_1FKiwhDph83XaGc0o0/edit?usp=sharing"",""งบพรบ!AB77"")"),759300)</f>
        <v>759300</v>
      </c>
      <c r="N58" s="93">
        <f ca="1">IFERROR(__xludf.DUMMYFUNCTION("IMPORTRANGE(""https://docs.google.com/spreadsheets/d/1MeEWN-I1oV_STSDYn1IFDPWt_1FKiwhDph83XaGc0o0/edit?usp=sharing"",""งบพรบ!AD77"")"),679812.01)</f>
        <v>679812.01</v>
      </c>
      <c r="O58" s="93">
        <f t="shared" ca="1" si="32"/>
        <v>93.342305368666757</v>
      </c>
      <c r="P58" s="93">
        <f t="shared" ca="1" si="33"/>
        <v>89.531411826682472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IFERROR(__xludf.DUMMYFUNCTION("IMPORTRANGE(""https://docs.google.com/spreadsheets/d/1MeEWN-I1oV_STSDYn1IFDPWt_1FKiwhDph83XaGc0o0/edit?usp=sharing"",""งบพรบ!Z77"")"),0)</f>
        <v>0</v>
      </c>
      <c r="M61" s="52">
        <f ca="1">IFERROR(__xludf.DUMMYFUNCTION("IMPORTRANGE(""https://docs.google.com/spreadsheets/d/1MeEWN-I1oV_STSDYn1IFDPWt_1FKiwhDph83XaGc0o0/edit?usp=sharing"",""งบพรบ!AC77"")"),0)</f>
        <v>0</v>
      </c>
      <c r="N61" s="52">
        <f ca="1">IFERROR(__xludf.DUMMYFUNCTION("IMPORTRANGE(""https://docs.google.com/spreadsheets/d/1MeEWN-I1oV_STSDYn1IFDPWt_1FKiwhDph83XaGc0o0/edit?usp=sharing"",""งบพรบ!AE77"")"),0)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IFERROR(__xludf.DUMMYFUNCTION("IMPORTRANGE(""https://docs.google.com/spreadsheets/d/1MeEWN-I1oV_STSDYn1IFDPWt_1FKiwhDph83XaGc0o0/edit?usp=sharing"",""งบพรบ!AG77"")"),0)</f>
        <v>0</v>
      </c>
      <c r="M71" s="93">
        <f ca="1">IFERROR(__xludf.DUMMYFUNCTION("IMPORTRANGE(""https://docs.google.com/spreadsheets/d/1MeEWN-I1oV_STSDYn1IFDPWt_1FKiwhDph83XaGc0o0/edit?usp=sharing"",""งบพรบ!AL77"")"),0)</f>
        <v>0</v>
      </c>
      <c r="N71" s="93">
        <f ca="1">IFERROR(__xludf.DUMMYFUNCTION("IMPORTRANGE(""https://docs.google.com/spreadsheets/d/1MeEWN-I1oV_STSDYn1IFDPWt_1FKiwhDph83XaGc0o0/edit?usp=sharing"",""งบพรบ!AN77"")"),0)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IFERROR(__xludf.DUMMYFUNCTION("IMPORTRANGE(""https://docs.google.com/spreadsheets/d/1MeEWN-I1oV_STSDYn1IFDPWt_1FKiwhDph83XaGc0o0/edit?usp=sharing"",""งบพรบ!AJ77"")"),0)</f>
        <v>0</v>
      </c>
      <c r="M74" s="93">
        <f ca="1">IFERROR(__xludf.DUMMYFUNCTION("IMPORTRANGE(""https://docs.google.com/spreadsheets/d/1MeEWN-I1oV_STSDYn1IFDPWt_1FKiwhDph83XaGc0o0/edit?usp=sharing"",""งบพรบ!AM77"")"),0)</f>
        <v>0</v>
      </c>
      <c r="N74" s="93">
        <f ca="1">IFERROR(__xludf.DUMMYFUNCTION("IMPORTRANGE(""https://docs.google.com/spreadsheets/d/1MeEWN-I1oV_STSDYn1IFDPWt_1FKiwhDph83XaGc0o0/edit?usp=sharing"",""งบพรบ!AO77"")"),0)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203800</v>
      </c>
      <c r="M88" s="155">
        <f t="shared" ca="1" si="49"/>
        <v>203800</v>
      </c>
      <c r="N88" s="155">
        <f t="shared" ca="1" si="49"/>
        <v>128215.71</v>
      </c>
      <c r="O88" s="155">
        <f t="shared" ref="O88:O96" ca="1" si="50">IF(L88&gt;0,N88*100/L88,0)</f>
        <v>62.912517173699705</v>
      </c>
      <c r="P88" s="155">
        <f t="shared" ref="P88:P96" ca="1" si="51">IF(M88&gt;0,N88*100/M88,0)</f>
        <v>62.912517173699705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203800</v>
      </c>
      <c r="M90" s="93">
        <f t="shared" ca="1" si="52"/>
        <v>203800</v>
      </c>
      <c r="N90" s="93">
        <f t="shared" ca="1" si="52"/>
        <v>128215.71</v>
      </c>
      <c r="O90" s="93">
        <f t="shared" ca="1" si="50"/>
        <v>62.912517173699705</v>
      </c>
      <c r="P90" s="93">
        <f t="shared" ca="1" si="51"/>
        <v>62.912517173699705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203800</v>
      </c>
      <c r="M91" s="498">
        <f t="shared" ca="1" si="53"/>
        <v>203800</v>
      </c>
      <c r="N91" s="498">
        <f t="shared" ca="1" si="53"/>
        <v>128215.71</v>
      </c>
      <c r="O91" s="498">
        <f t="shared" ca="1" si="50"/>
        <v>62.912517173699705</v>
      </c>
      <c r="P91" s="498">
        <f t="shared" ca="1" si="51"/>
        <v>62.912517173699705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IFERROR(__xludf.DUMMYFUNCTION("IMPORTRANGE(""https://docs.google.com/spreadsheets/d/1MeEWN-I1oV_STSDYn1IFDPWt_1FKiwhDph83XaGc0o0/edit?usp=sharing"",""งบพรบ!AQ77"")"),203800)</f>
        <v>203800</v>
      </c>
      <c r="M93" s="93">
        <f ca="1">IFERROR(__xludf.DUMMYFUNCTION("IMPORTRANGE(""https://docs.google.com/spreadsheets/d/1MeEWN-I1oV_STSDYn1IFDPWt_1FKiwhDph83XaGc0o0/edit?usp=sharing"",""งบพรบ!AV77"")"),203800)</f>
        <v>203800</v>
      </c>
      <c r="N93" s="93">
        <f ca="1">IFERROR(__xludf.DUMMYFUNCTION("IMPORTRANGE(""https://docs.google.com/spreadsheets/d/1MeEWN-I1oV_STSDYn1IFDPWt_1FKiwhDph83XaGc0o0/edit?usp=sharing"",""งบพรบ!AX77"")"),128215.71)</f>
        <v>128215.71</v>
      </c>
      <c r="O93" s="93">
        <f t="shared" ca="1" si="50"/>
        <v>62.912517173699705</v>
      </c>
      <c r="P93" s="93">
        <f t="shared" ca="1" si="51"/>
        <v>62.912517173699705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IFERROR(__xludf.DUMMYFUNCTION("IMPORTRANGE(""https://docs.google.com/spreadsheets/d/1MeEWN-I1oV_STSDYn1IFDPWt_1FKiwhDph83XaGc0o0/edit?usp=sharing"",""งบพรบ!AT77"")"),0)</f>
        <v>0</v>
      </c>
      <c r="M96" s="93">
        <f ca="1">IFERROR(__xludf.DUMMYFUNCTION("IMPORTRANGE(""https://docs.google.com/spreadsheets/d/1MeEWN-I1oV_STSDYn1IFDPWt_1FKiwhDph83XaGc0o0/edit?usp=sharing"",""งบพรบ!AW77"")"),0)</f>
        <v>0</v>
      </c>
      <c r="N96" s="93">
        <f ca="1">IFERROR(__xludf.DUMMYFUNCTION("IMPORTRANGE(""https://docs.google.com/spreadsheets/d/1MeEWN-I1oV_STSDYn1IFDPWt_1FKiwhDph83XaGc0o0/edit?usp=sharing"",""งบพรบ!AY77"")"),0)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IFERROR(__xludf.DUMMYFUNCTION("IMPORTRANGE(""https://docs.google.com/spreadsheets/d/1QqKyyYR6Q21VydFLVH3TRQUabQu_ym0Zz7PgGX0-kHA/edit?usp=sharing"",""แผน!K77"")"),0)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IFERROR(__xludf.DUMMYFUNCTION("IMPORTRANGE(""https://docs.google.com/spreadsheets/d/1QqKyyYR6Q21VydFLVH3TRQUabQu_ym0Zz7PgGX0-kHA/edit?usp=sharing"",""แผน!L77"")"),0)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IFERROR(__xludf.DUMMYFUNCTION("IMPORTRANGE(""https://docs.google.com/spreadsheets/d/1QqKyyYR6Q21VydFLVH3TRQUabQu_ym0Zz7PgGX0-kHA/edit?usp=sharing"",""แผน!M77"")"),2)</f>
        <v>2</v>
      </c>
      <c r="J100" s="270">
        <f>J107+J110</f>
        <v>1</v>
      </c>
      <c r="K100" s="498">
        <f t="shared" ca="1" si="55"/>
        <v>50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IFERROR(__xludf.DUMMYFUNCTION("IMPORTRANGE(""https://docs.google.com/spreadsheets/d/1QqKyyYR6Q21VydFLVH3TRQUabQu_ym0Zz7PgGX0-kHA/edit?usp=sharing"",""แผน!N77"")"),0)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IFERROR(__xludf.DUMMYFUNCTION("IMPORTRANGE(""https://docs.google.com/spreadsheets/d/1QqKyyYR6Q21VydFLVH3TRQUabQu_ym0Zz7PgGX0-kHA/edit?usp=sharing"",""แผน!O77"")"),0)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IFERROR(__xludf.DUMMYFUNCTION("IMPORTRANGE(""https://docs.google.com/spreadsheets/d/1QqKyyYR6Q21VydFLVH3TRQUabQu_ym0Zz7PgGX0-kHA/edit?usp=sharing"",""แผน!O77"")"),0)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IFERROR(__xludf.DUMMYFUNCTION("IMPORTRANGE(""https://docs.google.com/spreadsheets/d/1QqKyyYR6Q21VydFLVH3TRQUabQu_ym0Zz7PgGX0-kHA/edit?usp=sharing"",""แผน!P77"")"),1)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IFERROR(__xludf.DUMMYFUNCTION("IMPORTRANGE(""https://docs.google.com/spreadsheets/d/1QqKyyYR6Q21VydFLVH3TRQUabQu_ym0Zz7PgGX0-kHA/edit?usp=sharing"",""แผน!P77"")"),1)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IFERROR(__xludf.DUMMYFUNCTION("IMPORTRANGE(""https://docs.google.com/spreadsheets/d/1QqKyyYR6Q21VydFLVH3TRQUabQu_ym0Zz7PgGX0-kHA/edit?usp=sharing"",""แผน!Q77"")"),1)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IFERROR(__xludf.DUMMYFUNCTION("IMPORTRANGE(""https://docs.google.com/spreadsheets/d/1QqKyyYR6Q21VydFLVH3TRQUabQu_ym0Zz7PgGX0-kHA/edit?usp=sharing"",""แผน!Q77"")"),1)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IFERROR(__xludf.DUMMYFUNCTION("IMPORTRANGE(""https://docs.google.com/spreadsheets/d/1QqKyyYR6Q21VydFLVH3TRQUabQu_ym0Zz7PgGX0-kHA/edit?usp=sharing"",""แผน!R77"")"),0)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IFERROR(__xludf.DUMMYFUNCTION("IMPORTRANGE(""https://docs.google.com/spreadsheets/d/1QqKyyYR6Q21VydFLVH3TRQUabQu_ym0Zz7PgGX0-kHA/edit?usp=sharing"",""แผน!R77"")"),0)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IFERROR(__xludf.DUMMYFUNCTION("IMPORTRANGE(""https://docs.google.com/spreadsheets/d/1QqKyyYR6Q21VydFLVH3TRQUabQu_ym0Zz7PgGX0-kHA/edit?usp=sharing"",""แผน!R77"")"),0)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IFERROR(__xludf.DUMMYFUNCTION("IMPORTRANGE(""https://docs.google.com/spreadsheets/d/1QqKyyYR6Q21VydFLVH3TRQUabQu_ym0Zz7PgGX0-kHA/edit?usp=sharing"",""แผน!S77"")"),1)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IFERROR(__xludf.DUMMYFUNCTION("IMPORTRANGE(""https://docs.google.com/spreadsheets/d/1QqKyyYR6Q21VydFLVH3TRQUabQu_ym0Zz7PgGX0-kHA/edit?usp=sharing"",""แผน!T77"")"),1)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IFERROR(__xludf.DUMMYFUNCTION("IMPORTRANGE(""https://docs.google.com/spreadsheets/d/1MeEWN-I1oV_STSDYn1IFDPWt_1FKiwhDph83XaGc0o0/edit?usp=sharing"",""งบพรบ!BA77"")"),0)</f>
        <v>0</v>
      </c>
      <c r="M124" s="93">
        <f ca="1">IFERROR(__xludf.DUMMYFUNCTION("IMPORTRANGE(""https://docs.google.com/spreadsheets/d/1MeEWN-I1oV_STSDYn1IFDPWt_1FKiwhDph83XaGc0o0/edit?usp=sharing"",""งบพรบ!BF77"")"),0)</f>
        <v>0</v>
      </c>
      <c r="N124" s="93">
        <f ca="1">IFERROR(__xludf.DUMMYFUNCTION("IMPORTRANGE(""https://docs.google.com/spreadsheets/d/1MeEWN-I1oV_STSDYn1IFDPWt_1FKiwhDph83XaGc0o0/edit?usp=sharing"",""งบพรบ!BH77"")"),0)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IFERROR(__xludf.DUMMYFUNCTION("IMPORTRANGE(""https://docs.google.com/spreadsheets/d/1MeEWN-I1oV_STSDYn1IFDPWt_1FKiwhDph83XaGc0o0/edit?usp=sharing"",""งบพรบ!BD77"")"),0)</f>
        <v>0</v>
      </c>
      <c r="M127" s="93">
        <f ca="1">IFERROR(__xludf.DUMMYFUNCTION("IMPORTRANGE(""https://docs.google.com/spreadsheets/d/1MeEWN-I1oV_STSDYn1IFDPWt_1FKiwhDph83XaGc0o0/edit?usp=sharing"",""งบพรบ!BG77"")"),0)</f>
        <v>0</v>
      </c>
      <c r="N127" s="93">
        <f ca="1">IFERROR(__xludf.DUMMYFUNCTION("IMPORTRANGE(""https://docs.google.com/spreadsheets/d/1MeEWN-I1oV_STSDYn1IFDPWt_1FKiwhDph83XaGc0o0/edit?usp=sharing"",""งบพรบ!BI77"")"),0)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IFERROR(__xludf.DUMMYFUNCTION("IMPORTRANGE(""https://docs.google.com/spreadsheets/d/1MeEWN-I1oV_STSDYn1IFDPWt_1FKiwhDph83XaGc0o0/edit?usp=sharing"",""งบพรบ!BK77"")"),0)</f>
        <v>0</v>
      </c>
      <c r="M137" s="93">
        <f ca="1">IFERROR(__xludf.DUMMYFUNCTION("IMPORTRANGE(""https://docs.google.com/spreadsheets/d/1MeEWN-I1oV_STSDYn1IFDPWt_1FKiwhDph83XaGc0o0/edit?usp=sharing"",""งบพรบ!BP77"")"),0)</f>
        <v>0</v>
      </c>
      <c r="N137" s="93">
        <f ca="1">IFERROR(__xludf.DUMMYFUNCTION("IMPORTRANGE(""https://docs.google.com/spreadsheets/d/1MeEWN-I1oV_STSDYn1IFDPWt_1FKiwhDph83XaGc0o0/edit?usp=sharing"",""งบพรบ!BR77"")"),0)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IFERROR(__xludf.DUMMYFUNCTION("IMPORTRANGE(""https://docs.google.com/spreadsheets/d/1MeEWN-I1oV_STSDYn1IFDPWt_1FKiwhDph83XaGc0o0/edit?usp=sharing"",""งบพรบ!BN77"")"),0)</f>
        <v>0</v>
      </c>
      <c r="M140" s="93">
        <f ca="1">IFERROR(__xludf.DUMMYFUNCTION("IMPORTRANGE(""https://docs.google.com/spreadsheets/d/1MeEWN-I1oV_STSDYn1IFDPWt_1FKiwhDph83XaGc0o0/edit?usp=sharing"",""งบพรบ!BQ77"")"),0)</f>
        <v>0</v>
      </c>
      <c r="N140" s="93">
        <f ca="1">IFERROR(__xludf.DUMMYFUNCTION("IMPORTRANGE(""https://docs.google.com/spreadsheets/d/1MeEWN-I1oV_STSDYn1IFDPWt_1FKiwhDph83XaGc0o0/edit?usp=sharing"",""งบพรบ!BS77"")"),0)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IFERROR(__xludf.DUMMYFUNCTION("IMPORTRANGE(""https://docs.google.com/spreadsheets/d/1QqKyyYR6Q21VydFLVH3TRQUabQu_ym0Zz7PgGX0-kHA/edit?usp=sharing"",""แผน!U77"")"),0)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IFERROR(__xludf.DUMMYFUNCTION("IMPORTRANGE(""https://docs.google.com/spreadsheets/d/1QqKyyYR6Q21VydFLVH3TRQUabQu_ym0Zz7PgGX0-kHA/edit?usp=sharing"",""แผน!V77"")"),0)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IFERROR(__xludf.DUMMYFUNCTION("IMPORTRANGE(""https://docs.google.com/spreadsheets/d/1QqKyyYR6Q21VydFLVH3TRQUabQu_ym0Zz7PgGX0-kHA/edit?usp=sharing"",""แผน!W77"")"),0)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IFERROR(__xludf.DUMMYFUNCTION("IMPORTRANGE(""https://docs.google.com/spreadsheets/d/1MeEWN-I1oV_STSDYn1IFDPWt_1FKiwhDph83XaGc0o0/edit?usp=sharing"",""งบพรบ!BU77"")"),0)</f>
        <v>0</v>
      </c>
      <c r="M154" s="93">
        <f ca="1">IFERROR(__xludf.DUMMYFUNCTION("IMPORTRANGE(""https://docs.google.com/spreadsheets/d/1MeEWN-I1oV_STSDYn1IFDPWt_1FKiwhDph83XaGc0o0/edit?usp=sharing"",""งบพรบ!BZ77"")"),0)</f>
        <v>0</v>
      </c>
      <c r="N154" s="93">
        <f ca="1">IFERROR(__xludf.DUMMYFUNCTION("IMPORTRANGE(""https://docs.google.com/spreadsheets/d/1MeEWN-I1oV_STSDYn1IFDPWt_1FKiwhDph83XaGc0o0/edit?usp=sharing"",""งบพรบ!CB77"")"),0)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IFERROR(__xludf.DUMMYFUNCTION("IMPORTRANGE(""https://docs.google.com/spreadsheets/d/1MeEWN-I1oV_STSDYn1IFDPWt_1FKiwhDph83XaGc0o0/edit?usp=sharing"",""งบพรบ!BX77"")"),0)</f>
        <v>0</v>
      </c>
      <c r="M157" s="93">
        <f ca="1">IFERROR(__xludf.DUMMYFUNCTION("IMPORTRANGE(""https://docs.google.com/spreadsheets/d/1MeEWN-I1oV_STSDYn1IFDPWt_1FKiwhDph83XaGc0o0/edit?usp=sharing"",""งบพรบ!CA77"")"),0)</f>
        <v>0</v>
      </c>
      <c r="N157" s="93">
        <f ca="1">IFERROR(__xludf.DUMMYFUNCTION("IMPORTRANGE(""https://docs.google.com/spreadsheets/d/1MeEWN-I1oV_STSDYn1IFDPWt_1FKiwhDph83XaGc0o0/edit?usp=sharing"",""งบพรบ!CC77"")"),0)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IFERROR(__xludf.DUMMYFUNCTION("IMPORTRANGE(""https://docs.google.com/spreadsheets/d/1QqKyyYR6Q21VydFLVH3TRQUabQu_ym0Zz7PgGX0-kHA/edit?usp=sharing"",""แผน!X77"")"),0)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41315</v>
      </c>
      <c r="N165" s="155">
        <f t="shared" ca="1" si="84"/>
        <v>41315</v>
      </c>
      <c r="O165" s="155">
        <f t="shared" ref="O165:O173" ca="1" si="85">IF(L165&gt;0,N165*100/L165,0)</f>
        <v>171.68086432578434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41315</v>
      </c>
      <c r="N167" s="93">
        <f t="shared" ca="1" si="87"/>
        <v>41315</v>
      </c>
      <c r="O167" s="93">
        <f t="shared" ca="1" si="85"/>
        <v>171.68086432578434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41315</v>
      </c>
      <c r="N168" s="498">
        <f t="shared" ca="1" si="88"/>
        <v>41315</v>
      </c>
      <c r="O168" s="498">
        <f t="shared" ca="1" si="85"/>
        <v>171.68086432578434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IFERROR(__xludf.DUMMYFUNCTION("IMPORTRANGE(""https://docs.google.com/spreadsheets/d/1MeEWN-I1oV_STSDYn1IFDPWt_1FKiwhDph83XaGc0o0/edit?usp=sharing"",""งบพรบ!CE77"")"),24065)</f>
        <v>24065</v>
      </c>
      <c r="M170" s="93">
        <f ca="1">IFERROR(__xludf.DUMMYFUNCTION("IMPORTRANGE(""https://docs.google.com/spreadsheets/d/1MeEWN-I1oV_STSDYn1IFDPWt_1FKiwhDph83XaGc0o0/edit?usp=sharing"",""งบพรบ!CJ77"")"),41315)</f>
        <v>41315</v>
      </c>
      <c r="N170" s="93">
        <f ca="1">IFERROR(__xludf.DUMMYFUNCTION("IMPORTRANGE(""https://docs.google.com/spreadsheets/d/1MeEWN-I1oV_STSDYn1IFDPWt_1FKiwhDph83XaGc0o0/edit?usp=sharing"",""งบพรบ!CL77"")"),41315)</f>
        <v>41315</v>
      </c>
      <c r="O170" s="93">
        <f t="shared" ca="1" si="85"/>
        <v>171.68086432578434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IFERROR(__xludf.DUMMYFUNCTION("IMPORTRANGE(""https://docs.google.com/spreadsheets/d/1MeEWN-I1oV_STSDYn1IFDPWt_1FKiwhDph83XaGc0o0/edit?usp=sharing"",""งบพรบ!CH77"")"),0)</f>
        <v>0</v>
      </c>
      <c r="M173" s="93">
        <f ca="1">IFERROR(__xludf.DUMMYFUNCTION("IMPORTRANGE(""https://docs.google.com/spreadsheets/d/1MeEWN-I1oV_STSDYn1IFDPWt_1FKiwhDph83XaGc0o0/edit?usp=sharing"",""งบพรบ!CK77"")"),0)</f>
        <v>0</v>
      </c>
      <c r="N173" s="93">
        <f ca="1">IFERROR(__xludf.DUMMYFUNCTION("IMPORTRANGE(""https://docs.google.com/spreadsheets/d/1MeEWN-I1oV_STSDYn1IFDPWt_1FKiwhDph83XaGc0o0/edit?usp=sharing"",""งบพรบ!CM77"")"),0)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IFERROR(__xludf.DUMMYFUNCTION("IMPORTRANGE(""https://docs.google.com/spreadsheets/d/1QqKyyYR6Q21VydFLVH3TRQUabQu_ym0Zz7PgGX0-kHA/edit?usp=sharing"",""แผน!Y77"")"),13)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206200</v>
      </c>
      <c r="M181" s="155">
        <f t="shared" ca="1" si="92"/>
        <v>206200</v>
      </c>
      <c r="N181" s="155">
        <f t="shared" ca="1" si="92"/>
        <v>157315.47</v>
      </c>
      <c r="O181" s="155">
        <f t="shared" ref="O181:O189" ca="1" si="93">IF(L181&gt;0,N181*100/L181,0)</f>
        <v>76.292662463627551</v>
      </c>
      <c r="P181" s="155">
        <f t="shared" ref="P181:P189" ca="1" si="94">IF(M181&gt;0,N181*100/M181,0)</f>
        <v>76.292662463627551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206200</v>
      </c>
      <c r="M183" s="93">
        <f t="shared" ca="1" si="95"/>
        <v>206200</v>
      </c>
      <c r="N183" s="93">
        <f t="shared" ca="1" si="95"/>
        <v>157315.47</v>
      </c>
      <c r="O183" s="93">
        <f t="shared" ca="1" si="93"/>
        <v>76.292662463627551</v>
      </c>
      <c r="P183" s="93">
        <f t="shared" ca="1" si="94"/>
        <v>76.292662463627551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206200</v>
      </c>
      <c r="M184" s="498">
        <f t="shared" ca="1" si="96"/>
        <v>206200</v>
      </c>
      <c r="N184" s="498">
        <f t="shared" ca="1" si="96"/>
        <v>157315.47</v>
      </c>
      <c r="O184" s="498">
        <f t="shared" ca="1" si="93"/>
        <v>76.292662463627551</v>
      </c>
      <c r="P184" s="498">
        <f t="shared" ca="1" si="94"/>
        <v>76.292662463627551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IFERROR(__xludf.DUMMYFUNCTION("IMPORTRANGE(""https://docs.google.com/spreadsheets/d/1MeEWN-I1oV_STSDYn1IFDPWt_1FKiwhDph83XaGc0o0/edit?usp=sharing"",""งบพรบ!CO77"")"),206200)</f>
        <v>206200</v>
      </c>
      <c r="M186" s="93">
        <f ca="1">IFERROR(__xludf.DUMMYFUNCTION("IMPORTRANGE(""https://docs.google.com/spreadsheets/d/1MeEWN-I1oV_STSDYn1IFDPWt_1FKiwhDph83XaGc0o0/edit?usp=sharing"",""งบพรบ!CT77"")"),206200)</f>
        <v>206200</v>
      </c>
      <c r="N186" s="93">
        <f ca="1">IFERROR(__xludf.DUMMYFUNCTION("IMPORTRANGE(""https://docs.google.com/spreadsheets/d/1MeEWN-I1oV_STSDYn1IFDPWt_1FKiwhDph83XaGc0o0/edit?usp=sharing"",""งบพรบ!CV77"")"),157315.47)</f>
        <v>157315.47</v>
      </c>
      <c r="O186" s="93">
        <f t="shared" ca="1" si="93"/>
        <v>76.292662463627551</v>
      </c>
      <c r="P186" s="93">
        <f t="shared" ca="1" si="94"/>
        <v>76.292662463627551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IFERROR(__xludf.DUMMYFUNCTION("IMPORTRANGE(""https://docs.google.com/spreadsheets/d/1MeEWN-I1oV_STSDYn1IFDPWt_1FKiwhDph83XaGc0o0/edit?usp=sharing"",""งบพรบ!CR77"")"),0)</f>
        <v>0</v>
      </c>
      <c r="M189" s="93">
        <f ca="1">IFERROR(__xludf.DUMMYFUNCTION("IMPORTRANGE(""https://docs.google.com/spreadsheets/d/1MeEWN-I1oV_STSDYn1IFDPWt_1FKiwhDph83XaGc0o0/edit?usp=sharing"",""งบพรบ!CU77"")"),0)</f>
        <v>0</v>
      </c>
      <c r="N189" s="93">
        <f ca="1">IFERROR(__xludf.DUMMYFUNCTION("IMPORTRANGE(""https://docs.google.com/spreadsheets/d/1MeEWN-I1oV_STSDYn1IFDPWt_1FKiwhDph83XaGc0o0/edit?usp=sharing"",""งบพรบ!CW77"")"),0)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IFERROR(__xludf.DUMMYFUNCTION("IMPORTRANGE(""https://docs.google.com/spreadsheets/d/1QqKyyYR6Q21VydFLVH3TRQUabQu_ym0Zz7PgGX0-kHA/edit?usp=sharing"",""แผน!Z77"")"),6000)</f>
        <v>6000</v>
      </c>
      <c r="M191" s="155"/>
      <c r="N191" s="276">
        <v>1560</v>
      </c>
      <c r="O191" s="155">
        <f ca="1">IF(L191&gt;0,N191*100/L191,0)</f>
        <v>26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IFERROR(__xludf.DUMMYFUNCTION("IMPORTRANGE(""https://docs.google.com/spreadsheets/d/1QqKyyYR6Q21VydFLVH3TRQUabQu_ym0Zz7PgGX0-kHA/edit?usp=sharing"",""แผน!AC77"")"),4)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90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f>62+28</f>
        <v>90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13000</v>
      </c>
      <c r="M198" s="155"/>
      <c r="N198" s="155">
        <f>N199+N200+N201+N202</f>
        <v>12223.619999999999</v>
      </c>
      <c r="O198" s="155">
        <f ca="1">IF(L198&gt;0,N198*100/L198,0)</f>
        <v>94.027846153846156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IFERROR(__xludf.DUMMYFUNCTION("IMPORTRANGE(""https://docs.google.com/spreadsheets/d/1QqKyyYR6Q21VydFLVH3TRQUabQu_ym0Zz7PgGX0-kHA/edit?usp=sharing"",""แผน!AE77"")"),1000)</f>
        <v>1000</v>
      </c>
      <c r="M199" s="498"/>
      <c r="N199" s="826">
        <v>240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IFERROR(__xludf.DUMMYFUNCTION("IMPORTRANGE(""https://docs.google.com/spreadsheets/d/1QqKyyYR6Q21VydFLVH3TRQUabQu_ym0Zz7PgGX0-kHA/edit?usp=sharing"",""แผน!AF77"")"),8000)</f>
        <v>8000</v>
      </c>
      <c r="M200" s="498"/>
      <c r="N200" s="826">
        <v>7983.62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IFERROR(__xludf.DUMMYFUNCTION("IMPORTRANGE(""https://docs.google.com/spreadsheets/d/1QqKyyYR6Q21VydFLVH3TRQUabQu_ym0Zz7PgGX0-kHA/edit?usp=sharing"",""แผน!AG77"")"),4000)</f>
        <v>4000</v>
      </c>
      <c r="M201" s="498"/>
      <c r="N201" s="826">
        <v>4000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IFERROR(__xludf.DUMMYFUNCTION("IMPORTRANGE(""https://docs.google.com/spreadsheets/d/1QqKyyYR6Q21VydFLVH3TRQUabQu_ym0Zz7PgGX0-kHA/edit?usp=sharing"",""แผน!AH77"")"),0)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IFERROR(__xludf.DUMMYFUNCTION("IMPORTRANGE(""https://docs.google.com/spreadsheets/d/1QqKyyYR6Q21VydFLVH3TRQUabQu_ym0Zz7PgGX0-kHA/edit?usp=sharing"",""แผน!AI77"")"),1)</f>
        <v>1</v>
      </c>
      <c r="J204" s="215">
        <v>1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IFERROR(__xludf.DUMMYFUNCTION("IMPORTRANGE(""https://docs.google.com/spreadsheets/d/1QqKyyYR6Q21VydFLVH3TRQUabQu_ym0Zz7PgGX0-kHA/edit?usp=sharing"",""แผน!AK77"")"),0)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IFERROR(__xludf.DUMMYFUNCTION("IMPORTRANGE(""https://docs.google.com/spreadsheets/d/1QqKyyYR6Q21VydFLVH3TRQUabQu_ym0Zz7PgGX0-kHA/edit?usp=sharing"",""แผน!AL77"")"),0)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IFERROR(__xludf.DUMMYFUNCTION("IMPORTRANGE(""https://docs.google.com/spreadsheets/d/1QqKyyYR6Q21VydFLVH3TRQUabQu_ym0Zz7PgGX0-kHA/edit?usp=sharing"",""แผน!AM77"")"),0)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IFERROR(__xludf.DUMMYFUNCTION("IMPORTRANGE(""https://docs.google.com/spreadsheets/d/1QqKyyYR6Q21VydFLVH3TRQUabQu_ym0Zz7PgGX0-kHA/edit?usp=sharing"",""แผน!AN77"")"),0)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IFERROR(__xludf.DUMMYFUNCTION("IMPORTRANGE(""https://docs.google.com/spreadsheets/d/1QqKyyYR6Q21VydFLVH3TRQUabQu_ym0Zz7PgGX0-kHA/edit?usp=sharing"",""แผน!AN77"")"),0)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16500</v>
      </c>
      <c r="M217" s="155"/>
      <c r="N217" s="155">
        <f>N218+N219+N220</f>
        <v>10546.7</v>
      </c>
      <c r="O217" s="155">
        <f ca="1">IF(L217&gt;0,N217*100/L217,0)</f>
        <v>63.919393939393942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IFERROR(__xludf.DUMMYFUNCTION("IMPORTRANGE(""https://docs.google.com/spreadsheets/d/1QqKyyYR6Q21VydFLVH3TRQUabQu_ym0Zz7PgGX0-kHA/edit?usp=sharing"",""แผน!AP77"")"),3000)</f>
        <v>3000</v>
      </c>
      <c r="M218" s="498"/>
      <c r="N218" s="826">
        <f>1000+100+600</f>
        <v>1700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IFERROR(__xludf.DUMMYFUNCTION("IMPORTRANGE(""https://docs.google.com/spreadsheets/d/1QqKyyYR6Q21VydFLVH3TRQUabQu_ym0Zz7PgGX0-kHA/edit?usp=sharing"",""แผน!AQ77"")"),3500)</f>
        <v>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IFERROR(__xludf.DUMMYFUNCTION("IMPORTRANGE(""https://docs.google.com/spreadsheets/d/1QqKyyYR6Q21VydFLVH3TRQUabQu_ym0Zz7PgGX0-kHA/edit?usp=sharing"",""แผน!AR77"")"),10000)</f>
        <v>10000</v>
      </c>
      <c r="M220" s="498"/>
      <c r="N220" s="826">
        <f>7420+560+866.7</f>
        <v>8846.7000000000007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IFERROR(__xludf.DUMMYFUNCTION("IMPORTRANGE(""https://docs.google.com/spreadsheets/d/1QqKyyYR6Q21VydFLVH3TRQUabQu_ym0Zz7PgGX0-kHA/edit?usp=sharing"",""แผน!AT77"")"),10000)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IFERROR(__xludf.DUMMYFUNCTION("IMPORTRANGE(""https://docs.google.com/spreadsheets/d/1QqKyyYR6Q21VydFLVH3TRQUabQu_ym0Zz7PgGX0-kHA/edit?usp=sharing"",""แผน!AT77"")"),10000)</f>
        <v>10000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IFERROR(__xludf.DUMMYFUNCTION("IMPORTRANGE(""https://docs.google.com/spreadsheets/d/1QqKyyYR6Q21VydFLVH3TRQUabQu_ym0Zz7PgGX0-kHA/edit?usp=sharing"",""แผน!AS77"")"),10)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IFERROR(__xludf.DUMMYFUNCTION("IMPORTRANGE(""https://docs.google.com/spreadsheets/d/1QqKyyYR6Q21VydFLVH3TRQUabQu_ym0Zz7PgGX0-kHA/edit?usp=sharing"",""แผน!AV77"")"),0)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IFERROR(__xludf.DUMMYFUNCTION("IMPORTRANGE(""https://docs.google.com/spreadsheets/d/1QqKyyYR6Q21VydFLVH3TRQUabQu_ym0Zz7PgGX0-kHA/edit?usp=sharing"",""แผน!AW77"")"),0)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IFERROR(__xludf.DUMMYFUNCTION("IMPORTRANGE(""https://docs.google.com/spreadsheets/d/1QqKyyYR6Q21VydFLVH3TRQUabQu_ym0Zz7PgGX0-kHA/edit?usp=sharing"",""แผน!AX77"")"),0)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IFERROR(__xludf.DUMMYFUNCTION("IMPORTRANGE(""https://docs.google.com/spreadsheets/d/1QqKyyYR6Q21VydFLVH3TRQUabQu_ym0Zz7PgGX0-kHA/edit?usp=sharing"",""แผน!AY77"")"),0)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IFERROR(__xludf.DUMMYFUNCTION("IMPORTRANGE(""https://docs.google.com/spreadsheets/d/1QqKyyYR6Q21VydFLVH3TRQUabQu_ym0Zz7PgGX0-kHA/edit?usp=sharing"",""แผน!BE77"")"),0)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IFERROR(__xludf.DUMMYFUNCTION("IMPORTRANGE(""https://docs.google.com/spreadsheets/d/1QqKyyYR6Q21VydFLVH3TRQUabQu_ym0Zz7PgGX0-kHA/edit?usp=sharing"",""แผน!AZ77"")"),0)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IFERROR(__xludf.DUMMYFUNCTION("IMPORTRANGE(""https://docs.google.com/spreadsheets/d/1QqKyyYR6Q21VydFLVH3TRQUabQu_ym0Zz7PgGX0-kHA/edit?usp=sharing"",""แผน!BA77"")"),0)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IFERROR(__xludf.DUMMYFUNCTION("IMPORTRANGE(""https://docs.google.com/spreadsheets/d/1QqKyyYR6Q21VydFLVH3TRQUabQu_ym0Zz7PgGX0-kHA/edit?usp=sharing"",""แผน!BB77"")"),0)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IFERROR(__xludf.DUMMYFUNCTION("IMPORTRANGE(""https://docs.google.com/spreadsheets/d/1QqKyyYR6Q21VydFLVH3TRQUabQu_ym0Zz7PgGX0-kHA/edit?usp=sharing"",""แผน!BC77"")"),0)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IFERROR(__xludf.DUMMYFUNCTION("IMPORTRANGE(""https://docs.google.com/spreadsheets/d/1QqKyyYR6Q21VydFLVH3TRQUabQu_ym0Zz7PgGX0-kHA/edit?usp=sharing"",""แผน!BF77"")"),0)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20900</v>
      </c>
      <c r="O261" s="155">
        <f t="shared" ref="O261:O269" ca="1" si="117">IF(L261&gt;0,N261*100/L261,0)</f>
        <v>77.695167286245351</v>
      </c>
      <c r="P261" s="155">
        <f t="shared" ref="P261:P269" ca="1" si="118">IF(M261&gt;0,N261*100/M261,0)</f>
        <v>77.695167286245351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20900</v>
      </c>
      <c r="O263" s="93">
        <f t="shared" ca="1" si="117"/>
        <v>77.695167286245351</v>
      </c>
      <c r="P263" s="93">
        <f t="shared" ca="1" si="118"/>
        <v>77.695167286245351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26900</v>
      </c>
      <c r="N264" s="498">
        <f t="shared" ca="1" si="120"/>
        <v>20900</v>
      </c>
      <c r="O264" s="498">
        <f t="shared" ca="1" si="117"/>
        <v>77.695167286245351</v>
      </c>
      <c r="P264" s="498">
        <f t="shared" ca="1" si="118"/>
        <v>77.695167286245351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IFERROR(__xludf.DUMMYFUNCTION("IMPORTRANGE(""https://docs.google.com/spreadsheets/d/1MeEWN-I1oV_STSDYn1IFDPWt_1FKiwhDph83XaGc0o0/edit?usp=sharing"",""งบพรบ!CY77"")"),26900)</f>
        <v>26900</v>
      </c>
      <c r="M266" s="93">
        <f ca="1">IFERROR(__xludf.DUMMYFUNCTION("IMPORTRANGE(""https://docs.google.com/spreadsheets/d/1MeEWN-I1oV_STSDYn1IFDPWt_1FKiwhDph83XaGc0o0/edit?usp=sharing"",""งบพรบ!DD77"")"),26900)</f>
        <v>26900</v>
      </c>
      <c r="N266" s="93">
        <f ca="1">IFERROR(__xludf.DUMMYFUNCTION("IMPORTRANGE(""https://docs.google.com/spreadsheets/d/1MeEWN-I1oV_STSDYn1IFDPWt_1FKiwhDph83XaGc0o0/edit?usp=sharing"",""งบพรบ!DF77"")"),20900)</f>
        <v>20900</v>
      </c>
      <c r="O266" s="93">
        <f t="shared" ca="1" si="117"/>
        <v>77.695167286245351</v>
      </c>
      <c r="P266" s="93">
        <f t="shared" ca="1" si="118"/>
        <v>77.695167286245351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IFERROR(__xludf.DUMMYFUNCTION("IMPORTRANGE(""https://docs.google.com/spreadsheets/d/1MeEWN-I1oV_STSDYn1IFDPWt_1FKiwhDph83XaGc0o0/edit?usp=sharing"",""งบพรบ!DB77"")"),0)</f>
        <v>0</v>
      </c>
      <c r="M269" s="93">
        <f ca="1">IFERROR(__xludf.DUMMYFUNCTION("IMPORTRANGE(""https://docs.google.com/spreadsheets/d/1MeEWN-I1oV_STSDYn1IFDPWt_1FKiwhDph83XaGc0o0/edit?usp=sharing"",""งบพรบ!DE77"")"),0)</f>
        <v>0</v>
      </c>
      <c r="N269" s="93">
        <f ca="1">IFERROR(__xludf.DUMMYFUNCTION("IMPORTRANGE(""https://docs.google.com/spreadsheets/d/1MeEWN-I1oV_STSDYn1IFDPWt_1FKiwhDph83XaGc0o0/edit?usp=sharing"",""งบพรบ!DG77"")"),0)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IFERROR(__xludf.DUMMYFUNCTION("IMPORTRANGE(""https://docs.google.com/spreadsheets/d/1MeEWN-I1oV_STSDYn1IFDPWt_1FKiwhDph83XaGc0o0/edit?usp=sharing"",""งบพรบ!DI77"")"),0)</f>
        <v>0</v>
      </c>
      <c r="M282" s="93">
        <f ca="1">IFERROR(__xludf.DUMMYFUNCTION("IMPORTRANGE(""https://docs.google.com/spreadsheets/d/1MeEWN-I1oV_STSDYn1IFDPWt_1FKiwhDph83XaGc0o0/edit?usp=sharing"",""งบพรบ!DN77"")"),0)</f>
        <v>0</v>
      </c>
      <c r="N282" s="93">
        <f ca="1">IFERROR(__xludf.DUMMYFUNCTION("IMPORTRANGE(""https://docs.google.com/spreadsheets/d/1MeEWN-I1oV_STSDYn1IFDPWt_1FKiwhDph83XaGc0o0/edit?usp=sharing"",""งบพรบ!DP77"")"),0)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IFERROR(__xludf.DUMMYFUNCTION("IMPORTRANGE(""https://docs.google.com/spreadsheets/d/1MeEWN-I1oV_STSDYn1IFDPWt_1FKiwhDph83XaGc0o0/edit?usp=sharing"",""งบพรบ!DL77"")"),0)</f>
        <v>0</v>
      </c>
      <c r="M285" s="93">
        <f ca="1">IFERROR(__xludf.DUMMYFUNCTION("IMPORTRANGE(""https://docs.google.com/spreadsheets/d/1MeEWN-I1oV_STSDYn1IFDPWt_1FKiwhDph83XaGc0o0/edit?usp=sharing"",""งบพรบ!DO77"")"),0)</f>
        <v>0</v>
      </c>
      <c r="N285" s="93">
        <f ca="1">IFERROR(__xludf.DUMMYFUNCTION("IMPORTRANGE(""https://docs.google.com/spreadsheets/d/1MeEWN-I1oV_STSDYn1IFDPWt_1FKiwhDph83XaGc0o0/edit?usp=sharing"",""งบพรบ!DQ77"")"),0)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IFERROR(__xludf.DUMMYFUNCTION("IMPORTRANGE(""https://docs.google.com/spreadsheets/d/1QqKyyYR6Q21VydFLVH3TRQUabQu_ym0Zz7PgGX0-kHA/edit?usp=sharing"",""แผน!EB77"")"),0)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IFERROR(__xludf.DUMMYFUNCTION("IMPORTRANGE(""https://docs.google.com/spreadsheets/d/1QqKyyYR6Q21VydFLVH3TRQUabQu_ym0Zz7PgGX0-kHA/edit?usp=sharing"",""แผน!EB77"")"),0)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IFERROR(__xludf.DUMMYFUNCTION("IMPORTRANGE(""https://docs.google.com/spreadsheets/d/1MeEWN-I1oV_STSDYn1IFDPWt_1FKiwhDph83XaGc0o0/edit?usp=sharing"",""งบพรบ!DS77"")"),0)</f>
        <v>0</v>
      </c>
      <c r="M303" s="93">
        <f ca="1">IFERROR(__xludf.DUMMYFUNCTION("IMPORTRANGE(""https://docs.google.com/spreadsheets/d/1MeEWN-I1oV_STSDYn1IFDPWt_1FKiwhDph83XaGc0o0/edit?usp=sharing"",""งบพรบ!DX77"")"),0)</f>
        <v>0</v>
      </c>
      <c r="N303" s="93">
        <f ca="1">IFERROR(__xludf.DUMMYFUNCTION("IMPORTRANGE(""https://docs.google.com/spreadsheets/d/1MeEWN-I1oV_STSDYn1IFDPWt_1FKiwhDph83XaGc0o0/edit?usp=sharing"",""งบพรบ!DZ77"")"),0)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IFERROR(__xludf.DUMMYFUNCTION("IMPORTRANGE(""https://docs.google.com/spreadsheets/d/1MeEWN-I1oV_STSDYn1IFDPWt_1FKiwhDph83XaGc0o0/edit?usp=sharing"",""งบพรบ!DV77"")"),0)</f>
        <v>0</v>
      </c>
      <c r="M306" s="93">
        <f ca="1">IFERROR(__xludf.DUMMYFUNCTION("IMPORTRANGE(""https://docs.google.com/spreadsheets/d/1MeEWN-I1oV_STSDYn1IFDPWt_1FKiwhDph83XaGc0o0/edit?usp=sharing"",""งบพรบ!DY77"")"),0)</f>
        <v>0</v>
      </c>
      <c r="N306" s="93">
        <f ca="1">IFERROR(__xludf.DUMMYFUNCTION("IMPORTRANGE(""https://docs.google.com/spreadsheets/d/1MeEWN-I1oV_STSDYn1IFDPWt_1FKiwhDph83XaGc0o0/edit?usp=sharing"",""งบพรบ!EA77"")"),0)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IFERROR(__xludf.DUMMYFUNCTION("IMPORTRANGE(""https://docs.google.com/spreadsheets/d/1QqKyyYR6Q21VydFLVH3TRQUabQu_ym0Zz7PgGX0-kHA/edit?usp=sharing"",""แผน!ED77"")"),0)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IFERROR(__xludf.DUMMYFUNCTION("IMPORTRANGE(""https://docs.google.com/spreadsheets/d/1QqKyyYR6Q21VydFLVH3TRQUabQu_ym0Zz7PgGX0-kHA/edit?usp=sharing"",""แผน!ED77"")"),0)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IFERROR(__xludf.DUMMYFUNCTION("IMPORTRANGE(""https://docs.google.com/spreadsheets/d/1QqKyyYR6Q21VydFLVH3TRQUabQu_ym0Zz7PgGX0-kHA/edit?usp=sharing"",""แผน!ED77"")"),0)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IFERROR(__xludf.DUMMYFUNCTION("IMPORTRANGE(""https://docs.google.com/spreadsheets/d/1QqKyyYR6Q21VydFLVH3TRQUabQu_ym0Zz7PgGX0-kHA/edit?usp=sharing"",""แผน!EE77"")"),0)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IFERROR(__xludf.DUMMYFUNCTION("IMPORTRANGE(""https://docs.google.com/spreadsheets/d/1MeEWN-I1oV_STSDYn1IFDPWt_1FKiwhDph83XaGc0o0/edit?usp=sharing"",""งบพรบ!EC77"")"),0)</f>
        <v>0</v>
      </c>
      <c r="M320" s="93">
        <f ca="1">IFERROR(__xludf.DUMMYFUNCTION("IMPORTRANGE(""https://docs.google.com/spreadsheets/d/1MeEWN-I1oV_STSDYn1IFDPWt_1FKiwhDph83XaGc0o0/edit?usp=sharing"",""งบพรบ!EH77"")"),0)</f>
        <v>0</v>
      </c>
      <c r="N320" s="93">
        <f ca="1">IFERROR(__xludf.DUMMYFUNCTION("IMPORTRANGE(""https://docs.google.com/spreadsheets/d/1MeEWN-I1oV_STSDYn1IFDPWt_1FKiwhDph83XaGc0o0/edit?usp=sharing"",""งบพรบ!EJ77"")"),0)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IFERROR(__xludf.DUMMYFUNCTION("IMPORTRANGE(""https://docs.google.com/spreadsheets/d/1MeEWN-I1oV_STSDYn1IFDPWt_1FKiwhDph83XaGc0o0/edit?usp=sharing"",""งบพรบ!EF77"")"),0)</f>
        <v>0</v>
      </c>
      <c r="M323" s="93">
        <f ca="1">IFERROR(__xludf.DUMMYFUNCTION("IMPORTRANGE(""https://docs.google.com/spreadsheets/d/1MeEWN-I1oV_STSDYn1IFDPWt_1FKiwhDph83XaGc0o0/edit?usp=sharing"",""งบพรบ!EI77"")"),0)</f>
        <v>0</v>
      </c>
      <c r="N323" s="93">
        <f ca="1">IFERROR(__xludf.DUMMYFUNCTION("IMPORTRANGE(""https://docs.google.com/spreadsheets/d/1MeEWN-I1oV_STSDYn1IFDPWt_1FKiwhDph83XaGc0o0/edit?usp=sharing"",""งบพรบ!EK77"")"),0)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IFERROR(__xludf.DUMMYFUNCTION("IMPORTRANGE(""https://docs.google.com/spreadsheets/d/1QqKyyYR6Q21VydFLVH3TRQUabQu_ym0Zz7PgGX0-kHA/edit?usp=sharing"",""แผน!EF77"")"),0)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IFERROR(__xludf.DUMMYFUNCTION("IMPORTRANGE(""https://docs.google.com/spreadsheets/d/1QqKyyYR6Q21VydFLVH3TRQUabQu_ym0Zz7PgGX0-kHA/edit?usp=sharing"",""แผน!EG77"")"),1700)</f>
        <v>1700</v>
      </c>
      <c r="J327" s="445">
        <f ca="1">J338+J341+J342+J343</f>
        <v>4559</v>
      </c>
      <c r="K327" s="446">
        <f ca="1">IF(I327&gt;0,J327*100/I327,0)</f>
        <v>268.1764705882353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166000</v>
      </c>
      <c r="M328" s="155">
        <f t="shared" ca="1" si="149"/>
        <v>168500</v>
      </c>
      <c r="N328" s="155">
        <f t="shared" ca="1" si="149"/>
        <v>127011.38</v>
      </c>
      <c r="O328" s="155">
        <f t="shared" ref="O328:O336" ca="1" si="150">IF(L328&gt;0,N328*100/L328,0)</f>
        <v>76.512879518072296</v>
      </c>
      <c r="P328" s="155">
        <f t="shared" ref="P328:P336" ca="1" si="151">IF(M328&gt;0,N328*100/M328,0)</f>
        <v>75.377673590504457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166000</v>
      </c>
      <c r="M330" s="93">
        <f t="shared" ca="1" si="152"/>
        <v>168500</v>
      </c>
      <c r="N330" s="93">
        <f t="shared" ca="1" si="152"/>
        <v>127011.38</v>
      </c>
      <c r="O330" s="93">
        <f t="shared" ca="1" si="150"/>
        <v>76.512879518072296</v>
      </c>
      <c r="P330" s="93">
        <f t="shared" ca="1" si="151"/>
        <v>75.377673590504457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166000</v>
      </c>
      <c r="M331" s="498">
        <f t="shared" ca="1" si="153"/>
        <v>168500</v>
      </c>
      <c r="N331" s="498">
        <f t="shared" ca="1" si="153"/>
        <v>127011.38</v>
      </c>
      <c r="O331" s="498">
        <f t="shared" ca="1" si="150"/>
        <v>76.512879518072296</v>
      </c>
      <c r="P331" s="498">
        <f t="shared" ca="1" si="151"/>
        <v>75.377673590504457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IFERROR(__xludf.DUMMYFUNCTION("IMPORTRANGE(""https://docs.google.com/spreadsheets/d/1MeEWN-I1oV_STSDYn1IFDPWt_1FKiwhDph83XaGc0o0/edit?usp=sharing"",""งบพรบ!EM77"")"),166000)</f>
        <v>166000</v>
      </c>
      <c r="M333" s="93">
        <f ca="1">IFERROR(__xludf.DUMMYFUNCTION("IMPORTRANGE(""https://docs.google.com/spreadsheets/d/1MeEWN-I1oV_STSDYn1IFDPWt_1FKiwhDph83XaGc0o0/edit?usp=sharing"",""งบพรบ!ER77"")"),168500)</f>
        <v>168500</v>
      </c>
      <c r="N333" s="93">
        <f ca="1">IFERROR(__xludf.DUMMYFUNCTION("IMPORTRANGE(""https://docs.google.com/spreadsheets/d/1MeEWN-I1oV_STSDYn1IFDPWt_1FKiwhDph83XaGc0o0/edit?usp=sharing"",""งบพรบ!ET77"")"),127011.38)</f>
        <v>127011.38</v>
      </c>
      <c r="O333" s="93">
        <f t="shared" ca="1" si="150"/>
        <v>76.512879518072296</v>
      </c>
      <c r="P333" s="93">
        <f t="shared" ca="1" si="151"/>
        <v>75.377673590504457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IFERROR(__xludf.DUMMYFUNCTION("IMPORTRANGE(""https://docs.google.com/spreadsheets/d/1MeEWN-I1oV_STSDYn1IFDPWt_1FKiwhDph83XaGc0o0/edit?usp=sharing"",""งบพรบ!EP77"")"),0)</f>
        <v>0</v>
      </c>
      <c r="M336" s="93">
        <f ca="1">IFERROR(__xludf.DUMMYFUNCTION("IMPORTRANGE(""https://docs.google.com/spreadsheets/d/1MeEWN-I1oV_STSDYn1IFDPWt_1FKiwhDph83XaGc0o0/edit?usp=sharing"",""งบพรบ!ES77"")"),0)</f>
        <v>0</v>
      </c>
      <c r="N336" s="93">
        <f ca="1">IFERROR(__xludf.DUMMYFUNCTION("IMPORTRANGE(""https://docs.google.com/spreadsheets/d/1MeEWN-I1oV_STSDYn1IFDPWt_1FKiwhDph83XaGc0o0/edit?usp=sharing"",""งบพรบ!EU77"")"),0)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IFERROR(__xludf.DUMMYFUNCTION("IMPORTRANGE(""https://docs.google.com/spreadsheets/d/1QqKyyYR6Q21VydFLVH3TRQUabQu_ym0Zz7PgGX0-kHA/edit?usp=sharing"",""แผน!EG77"")"),1700)</f>
        <v>1700</v>
      </c>
      <c r="J338" s="270">
        <f ca="1">IFERROR(__xludf.DUMMYFUNCTION("IMPORTRANGE(""https://docs.google.com/spreadsheets/d/1kVcqe37tkHyjCSG3S0O1AXqVkqjo8mSIZil3BcpIysc/edit?usp=sharing"",""ศูนย์!D77"")"),4404)</f>
        <v>4404</v>
      </c>
      <c r="K338" s="498">
        <f ca="1">IF(I338&gt;0,J338*100/I338,0)</f>
        <v>259.05882352941177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IFERROR(__xludf.DUMMYFUNCTION("IMPORTRANGE(""https://docs.google.com/spreadsheets/d/1QqKyyYR6Q21VydFLVH3TRQUabQu_ym0Zz7PgGX0-kHA/edit?usp=sharing"",""แผน!EH77"")"),4)</f>
        <v>4</v>
      </c>
      <c r="J340" s="270">
        <f ca="1">IFERROR(__xludf.DUMMYFUNCTION("IMPORTRANGE(""https://docs.google.com/spreadsheets/d/1kVcqe37tkHyjCSG3S0O1AXqVkqjo8mSIZil3BcpIysc/edit?usp=sharing"",""ศูนย์!E77"")"),4)</f>
        <v>4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IFERROR(__xludf.DUMMYFUNCTION("IMPORTRANGE(""https://docs.google.com/spreadsheets/d/1kVcqe37tkHyjCSG3S0O1AXqVkqjo8mSIZil3BcpIysc/edit?usp=sharing"",""ศูนย์!F77"")"),155)</f>
        <v>155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IFERROR(__xludf.DUMMYFUNCTION("IMPORTRANGE(""https://docs.google.com/spreadsheets/d/1kVcqe37tkHyjCSG3S0O1AXqVkqjo8mSIZil3BcpIysc/edit?usp=sharing"",""ศูนย์!G77"")"),0)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IFERROR(__xludf.DUMMYFUNCTION("IMPORTRANGE(""https://docs.google.com/spreadsheets/d/1kVcqe37tkHyjCSG3S0O1AXqVkqjo8mSIZil3BcpIysc/edit?usp=sharing"",""ศูนย์!H77"")"),0)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997600</v>
      </c>
      <c r="M345" s="155">
        <f t="shared" ca="1" si="155"/>
        <v>1065400</v>
      </c>
      <c r="N345" s="155">
        <f t="shared" ca="1" si="155"/>
        <v>753465.35</v>
      </c>
      <c r="O345" s="155">
        <f t="shared" ref="O345:O353" ca="1" si="156">IF(L345&gt;0,N345*100/L345,0)</f>
        <v>75.52780172413793</v>
      </c>
      <c r="P345" s="155">
        <f t="shared" ref="P345:P353" ca="1" si="157">IF(M345&gt;0,N345*100/M345,0)</f>
        <v>70.721358175333208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997600</v>
      </c>
      <c r="M347" s="93">
        <f t="shared" ca="1" si="158"/>
        <v>1065400</v>
      </c>
      <c r="N347" s="93">
        <f t="shared" ca="1" si="158"/>
        <v>753465.35</v>
      </c>
      <c r="O347" s="93">
        <f t="shared" ca="1" si="156"/>
        <v>75.52780172413793</v>
      </c>
      <c r="P347" s="93">
        <f t="shared" ca="1" si="157"/>
        <v>70.721358175333208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868000</v>
      </c>
      <c r="M348" s="498">
        <f t="shared" ca="1" si="159"/>
        <v>935800</v>
      </c>
      <c r="N348" s="498">
        <f t="shared" ca="1" si="159"/>
        <v>623865.35</v>
      </c>
      <c r="O348" s="498">
        <f t="shared" ca="1" si="156"/>
        <v>71.873888248847933</v>
      </c>
      <c r="P348" s="498">
        <f t="shared" ca="1" si="157"/>
        <v>66.666525967086983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IFERROR(__xludf.DUMMYFUNCTION("IMPORTRANGE(""https://docs.google.com/spreadsheets/d/1MeEWN-I1oV_STSDYn1IFDPWt_1FKiwhDph83XaGc0o0/edit?usp=sharing"",""งบพรบ!EW77"")"),868000)</f>
        <v>868000</v>
      </c>
      <c r="M350" s="93">
        <f ca="1">IFERROR(__xludf.DUMMYFUNCTION("IMPORTRANGE(""https://docs.google.com/spreadsheets/d/1MeEWN-I1oV_STSDYn1IFDPWt_1FKiwhDph83XaGc0o0/edit?usp=sharing"",""งบพรบ!FB77"")"),935800)</f>
        <v>935800</v>
      </c>
      <c r="N350" s="93">
        <f ca="1">IFERROR(__xludf.DUMMYFUNCTION("IMPORTRANGE(""https://docs.google.com/spreadsheets/d/1MeEWN-I1oV_STSDYn1IFDPWt_1FKiwhDph83XaGc0o0/edit?usp=sharing"",""งบพรบ!FD77"")"),623865.35)</f>
        <v>623865.35</v>
      </c>
      <c r="O350" s="93">
        <f t="shared" ca="1" si="156"/>
        <v>71.873888248847933</v>
      </c>
      <c r="P350" s="93">
        <f t="shared" ca="1" si="157"/>
        <v>66.666525967086983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129600</v>
      </c>
      <c r="M351" s="498">
        <f t="shared" ca="1" si="160"/>
        <v>129600</v>
      </c>
      <c r="N351" s="498">
        <f t="shared" ca="1" si="160"/>
        <v>129600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IFERROR(__xludf.DUMMYFUNCTION("IMPORTRANGE(""https://docs.google.com/spreadsheets/d/1MeEWN-I1oV_STSDYn1IFDPWt_1FKiwhDph83XaGc0o0/edit?usp=sharing"",""งบพรบ!EZ77"")"),129600)</f>
        <v>129600</v>
      </c>
      <c r="M353" s="93">
        <f ca="1">IFERROR(__xludf.DUMMYFUNCTION("IMPORTRANGE(""https://docs.google.com/spreadsheets/d/1MeEWN-I1oV_STSDYn1IFDPWt_1FKiwhDph83XaGc0o0/edit?usp=sharing"",""งบพรบ!FC77"")"),129600)</f>
        <v>129600</v>
      </c>
      <c r="N353" s="93">
        <f ca="1">IFERROR(__xludf.DUMMYFUNCTION("IMPORTRANGE(""https://docs.google.com/spreadsheets/d/1MeEWN-I1oV_STSDYn1IFDPWt_1FKiwhDph83XaGc0o0/edit?usp=sharing"",""งบพรบ!FE77"")"),129600)</f>
        <v>129600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IFERROR(__xludf.DUMMYFUNCTION("IMPORTRANGE(""https://docs.google.com/spreadsheets/d/1QqKyyYR6Q21VydFLVH3TRQUabQu_ym0Zz7PgGX0-kHA/edit?usp=sharing"",""แผน!EP77"")"),332)</f>
        <v>332</v>
      </c>
      <c r="J355" s="465">
        <f ca="1">J362</f>
        <v>92</v>
      </c>
      <c r="K355" s="466">
        <f ca="1">IF(I355&gt;0,J355*100/I355,0)</f>
        <v>27.710843373493976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IFERROR(__xludf.DUMMYFUNCTION("IMPORTRANGE(""https://docs.google.com/spreadsheets/d/1XWAQStnk-4SwqDmLtmXYiTMKHgktTP8We1SCoS47DrQ/edit?usp=sharing"",""จัดที่ดิน!W77"")"),289)</f>
        <v>289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IFERROR(__xludf.DUMMYFUNCTION("IMPORTRANGE(""https://docs.google.com/spreadsheets/d/1QqKyyYR6Q21VydFLVH3TRQUabQu_ym0Zz7PgGX0-kHA/edit?usp=sharing"",""แผน!EO77"")"),2700)</f>
        <v>2700</v>
      </c>
      <c r="J359" s="270">
        <f ca="1">IFERROR(__xludf.DUMMYFUNCTION("IMPORTRANGE(""https://docs.google.com/spreadsheets/d/1XWAQStnk-4SwqDmLtmXYiTMKHgktTP8We1SCoS47DrQ/edit?usp=sharing"",""จัดที่ดิน!X77"")"),2220.3)</f>
        <v>2220.3000000000002</v>
      </c>
      <c r="K359" s="498">
        <f t="shared" ca="1" si="161"/>
        <v>82.233333333333348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IFERROR(__xludf.DUMMYFUNCTION("IMPORTRANGE(""https://docs.google.com/spreadsheets/d/1QqKyyYR6Q21VydFLVH3TRQUabQu_ym0Zz7PgGX0-kHA/edit?usp=sharing"",""แผน!EP77"")"),332)</f>
        <v>332</v>
      </c>
      <c r="J360" s="270">
        <f ca="1">IFERROR(__xludf.DUMMYFUNCTION("IMPORTRANGE(""https://docs.google.com/spreadsheets/d/1XWAQStnk-4SwqDmLtmXYiTMKHgktTP8We1SCoS47DrQ/edit?usp=sharing"",""จัดที่ดิน!Y77"")"),118)</f>
        <v>118</v>
      </c>
      <c r="K360" s="498">
        <f t="shared" ca="1" si="161"/>
        <v>35.542168674698793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IFERROR(__xludf.DUMMYFUNCTION("IMPORTRANGE(""https://docs.google.com/spreadsheets/d/1XWAQStnk-4SwqDmLtmXYiTMKHgktTP8We1SCoS47DrQ/edit?usp=sharing"",""จัดที่ดิน!Z77"")"),1084.2)</f>
        <v>1084.2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IFERROR(__xludf.DUMMYFUNCTION("IMPORTRANGE(""https://docs.google.com/spreadsheets/d/1QqKyyYR6Q21VydFLVH3TRQUabQu_ym0Zz7PgGX0-kHA/edit?usp=sharing"",""แผน!EP77"")"),332)</f>
        <v>332</v>
      </c>
      <c r="J362" s="270">
        <f ca="1">IFERROR(__xludf.DUMMYFUNCTION("IMPORTRANGE(""https://docs.google.com/spreadsheets/d/1XWAQStnk-4SwqDmLtmXYiTMKHgktTP8We1SCoS47DrQ/edit?usp=sharing"",""จัดที่ดิน!AA77"")"),92)</f>
        <v>92</v>
      </c>
      <c r="K362" s="498">
        <f t="shared" ca="1" si="161"/>
        <v>27.710843373493976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IFERROR(__xludf.DUMMYFUNCTION("IMPORTRANGE(""https://docs.google.com/spreadsheets/d/1XWAQStnk-4SwqDmLtmXYiTMKHgktTP8We1SCoS47DrQ/edit?usp=sharing"",""จัดที่ดิน!AB77"")"),894.61)</f>
        <v>894.61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502</v>
      </c>
      <c r="J364" s="479">
        <f t="shared" ca="1" si="162"/>
        <v>191</v>
      </c>
      <c r="K364" s="480">
        <f t="shared" ca="1" si="161"/>
        <v>38.047808764940243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IFERROR(__xludf.DUMMYFUNCTION("IMPORTRANGE(""https://docs.google.com/spreadsheets/d/1QqKyyYR6Q21VydFLVH3TRQUabQu_ym0Zz7PgGX0-kHA/edit?usp=sharing"",""แผน!EJ77"")"),182)</f>
        <v>182</v>
      </c>
      <c r="J365" s="491">
        <f ca="1">J372</f>
        <v>83</v>
      </c>
      <c r="K365" s="492">
        <f t="shared" ca="1" si="161"/>
        <v>45.604395604395606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IFERROR(__xludf.DUMMYFUNCTION("IMPORTRANGE(""https://docs.google.com/spreadsheets/d/1XWAQStnk-4SwqDmLtmXYiTMKHgktTP8We1SCoS47DrQ/edit?usp=sharing"",""จัดที่ดิน!E77"")"),103)</f>
        <v>103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IFERROR(__xludf.DUMMYFUNCTION("IMPORTRANGE(""https://docs.google.com/spreadsheets/d/1QqKyyYR6Q21VydFLVH3TRQUabQu_ym0Zz7PgGX0-kHA/edit?usp=sharing"",""แผน!EI77"")"),1300)</f>
        <v>1300</v>
      </c>
      <c r="J369" s="270">
        <f ca="1">IFERROR(__xludf.DUMMYFUNCTION("IMPORTRANGE(""https://docs.google.com/spreadsheets/d/1XWAQStnk-4SwqDmLtmXYiTMKHgktTP8We1SCoS47DrQ/edit?usp=sharing"",""จัดที่ดิน!F77"")"),975.22)</f>
        <v>975.22</v>
      </c>
      <c r="K369" s="498">
        <f t="shared" ca="1" si="163"/>
        <v>75.016923076923078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IFERROR(__xludf.DUMMYFUNCTION("IMPORTRANGE(""https://docs.google.com/spreadsheets/d/1QqKyyYR6Q21VydFLVH3TRQUabQu_ym0Zz7PgGX0-kHA/edit?usp=sharing"",""แผน!EJ77"")"),182)</f>
        <v>182</v>
      </c>
      <c r="J370" s="270">
        <f ca="1">IFERROR(__xludf.DUMMYFUNCTION("IMPORTRANGE(""https://docs.google.com/spreadsheets/d/1XWAQStnk-4SwqDmLtmXYiTMKHgktTP8We1SCoS47DrQ/edit?usp=sharing"",""จัดที่ดิน!G77"")"),91)</f>
        <v>91</v>
      </c>
      <c r="K370" s="498">
        <f t="shared" ca="1" si="163"/>
        <v>50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IFERROR(__xludf.DUMMYFUNCTION("IMPORTRANGE(""https://docs.google.com/spreadsheets/d/1XWAQStnk-4SwqDmLtmXYiTMKHgktTP8We1SCoS47DrQ/edit?usp=sharing"",""จัดที่ดิน!H77"")"),929.87)</f>
        <v>929.87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IFERROR(__xludf.DUMMYFUNCTION("IMPORTRANGE(""https://docs.google.com/spreadsheets/d/1QqKyyYR6Q21VydFLVH3TRQUabQu_ym0Zz7PgGX0-kHA/edit?usp=sharing"",""แผน!EJ77"")"),182)</f>
        <v>182</v>
      </c>
      <c r="J372" s="270">
        <f ca="1">IFERROR(__xludf.DUMMYFUNCTION("IMPORTRANGE(""https://docs.google.com/spreadsheets/d/1XWAQStnk-4SwqDmLtmXYiTMKHgktTP8We1SCoS47DrQ/edit?usp=sharing"",""จัดที่ดิน!I77"")"),83)</f>
        <v>83</v>
      </c>
      <c r="K372" s="498">
        <f t="shared" ca="1" si="163"/>
        <v>45.604395604395606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IFERROR(__xludf.DUMMYFUNCTION("IMPORTRANGE(""https://docs.google.com/spreadsheets/d/1XWAQStnk-4SwqDmLtmXYiTMKHgktTP8We1SCoS47DrQ/edit?usp=sharing"",""จัดที่ดิน!J77"")"),826.5)</f>
        <v>826.5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IFERROR(__xludf.DUMMYFUNCTION("IMPORTRANGE(""https://docs.google.com/spreadsheets/d/1QqKyyYR6Q21VydFLVH3TRQUabQu_ym0Zz7PgGX0-kHA/edit?usp=sharing"",""แผน!EU77"")"),320)</f>
        <v>320</v>
      </c>
      <c r="J374" s="491">
        <f ca="1">J381</f>
        <v>108</v>
      </c>
      <c r="K374" s="492">
        <f t="shared" ca="1" si="163"/>
        <v>33.75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IFERROR(__xludf.DUMMYFUNCTION("IMPORTRANGE(""https://docs.google.com/spreadsheets/d/1XWAQStnk-4SwqDmLtmXYiTMKHgktTP8We1SCoS47DrQ/edit?usp=sharing"",""จัดที่ดิน!AH77"")"),186)</f>
        <v>186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IFERROR(__xludf.DUMMYFUNCTION("IMPORTRANGE(""https://docs.google.com/spreadsheets/d/1QqKyyYR6Q21VydFLVH3TRQUabQu_ym0Zz7PgGX0-kHA/edit?usp=sharing"",""แผน!ET77"")"),1400)</f>
        <v>1400</v>
      </c>
      <c r="J378" s="270">
        <f ca="1">IFERROR(__xludf.DUMMYFUNCTION("IMPORTRANGE(""https://docs.google.com/spreadsheets/d/1XWAQStnk-4SwqDmLtmXYiTMKHgktTP8We1SCoS47DrQ/edit?usp=sharing"",""จัดที่ดิน!AI77"")"),1245.08)</f>
        <v>1245.08</v>
      </c>
      <c r="K378" s="498">
        <f t="shared" ca="1" si="164"/>
        <v>88.934285714285721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IFERROR(__xludf.DUMMYFUNCTION("IMPORTRANGE(""https://docs.google.com/spreadsheets/d/1QqKyyYR6Q21VydFLVH3TRQUabQu_ym0Zz7PgGX0-kHA/edit?usp=sharing"",""แผน!EU77"")"),320)</f>
        <v>320</v>
      </c>
      <c r="J379" s="270">
        <f ca="1">IFERROR(__xludf.DUMMYFUNCTION("IMPORTRANGE(""https://docs.google.com/spreadsheets/d/1XWAQStnk-4SwqDmLtmXYiTMKHgktTP8We1SCoS47DrQ/edit?usp=sharing"",""จัดที่ดิน!AJ77"")"),126)</f>
        <v>126</v>
      </c>
      <c r="K379" s="498">
        <f t="shared" ca="1" si="164"/>
        <v>39.375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IFERROR(__xludf.DUMMYFUNCTION("IMPORTRANGE(""https://docs.google.com/spreadsheets/d/1XWAQStnk-4SwqDmLtmXYiTMKHgktTP8We1SCoS47DrQ/edit?usp=sharing"",""จัดที่ดิน!AK77"")"),1193.52)</f>
        <v>1193.52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IFERROR(__xludf.DUMMYFUNCTION("IMPORTRANGE(""https://docs.google.com/spreadsheets/d/1QqKyyYR6Q21VydFLVH3TRQUabQu_ym0Zz7PgGX0-kHA/edit?usp=sharing"",""แผน!EU77"")"),320)</f>
        <v>320</v>
      </c>
      <c r="J381" s="270">
        <f ca="1">IFERROR(__xludf.DUMMYFUNCTION("IMPORTRANGE(""https://docs.google.com/spreadsheets/d/1XWAQStnk-4SwqDmLtmXYiTMKHgktTP8We1SCoS47DrQ/edit?usp=sharing"",""จัดที่ดิน!AL77"")"),108)</f>
        <v>108</v>
      </c>
      <c r="K381" s="498">
        <f t="shared" ca="1" si="164"/>
        <v>33.75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IFERROR(__xludf.DUMMYFUNCTION("IMPORTRANGE(""https://docs.google.com/spreadsheets/d/1XWAQStnk-4SwqDmLtmXYiTMKHgktTP8We1SCoS47DrQ/edit?usp=sharing"",""จัดที่ดิน!AM77"")"),1107.3)</f>
        <v>1107.3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IFERROR(__xludf.DUMMYFUNCTION("IMPORTRANGE(""https://docs.google.com/spreadsheets/d/1QqKyyYR6Q21VydFLVH3TRQUabQu_ym0Zz7PgGX0-kHA/edit?usp=sharing"",""แผน!EW77"")"),20)</f>
        <v>20</v>
      </c>
      <c r="J385" s="505">
        <f ca="1">IFERROR(__xludf.DUMMYFUNCTION("IMPORTRANGE(""https://docs.google.com/spreadsheets/d/1XWAQStnk-4SwqDmLtmXYiTMKHgktTP8We1SCoS47DrQ/edit?usp=sharing"",""จัดที่ดิน!AP77"")"),4)</f>
        <v>4</v>
      </c>
      <c r="K385" s="506">
        <f ca="1">IF(I385&gt;0,J385*100/I385,0)</f>
        <v>20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IFERROR(__xludf.DUMMYFUNCTION("IMPORTRANGE(""https://docs.google.com/spreadsheets/d/1MeEWN-I1oV_STSDYn1IFDPWt_1FKiwhDph83XaGc0o0/edit?usp=sharing"",""งบพรบ!FG77"")"),0)</f>
        <v>0</v>
      </c>
      <c r="M394" s="93">
        <f ca="1">IFERROR(__xludf.DUMMYFUNCTION("IMPORTRANGE(""https://docs.google.com/spreadsheets/d/1MeEWN-I1oV_STSDYn1IFDPWt_1FKiwhDph83XaGc0o0/edit?usp=sharing"",""งบพรบ!FL77"")"),0)</f>
        <v>0</v>
      </c>
      <c r="N394" s="93">
        <f ca="1">IFERROR(__xludf.DUMMYFUNCTION("IMPORTRANGE(""https://docs.google.com/spreadsheets/d/1MeEWN-I1oV_STSDYn1IFDPWt_1FKiwhDph83XaGc0o0/edit?usp=sharing"",""งบพรบ!FN77"")"),0)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IFERROR(__xludf.DUMMYFUNCTION("IMPORTRANGE(""https://docs.google.com/spreadsheets/d/1MeEWN-I1oV_STSDYn1IFDPWt_1FKiwhDph83XaGc0o0/edit?usp=sharing"",""งบพรบ!FJ77"")"),0)</f>
        <v>0</v>
      </c>
      <c r="M397" s="93">
        <f ca="1">IFERROR(__xludf.DUMMYFUNCTION("IMPORTRANGE(""https://docs.google.com/spreadsheets/d/1MeEWN-I1oV_STSDYn1IFDPWt_1FKiwhDph83XaGc0o0/edit?usp=sharing"",""งบพรบ!FM77"")"),0)</f>
        <v>0</v>
      </c>
      <c r="N397" s="93">
        <f ca="1">IFERROR(__xludf.DUMMYFUNCTION("IMPORTRANGE(""https://docs.google.com/spreadsheets/d/1MeEWN-I1oV_STSDYn1IFDPWt_1FKiwhDph83XaGc0o0/edit?usp=sharing"",""งบพรบ!FO77"")"),0)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IFERROR(__xludf.DUMMYFUNCTION("IMPORTRANGE(""https://docs.google.com/spreadsheets/d/1MeEWN-I1oV_STSDYn1IFDPWt_1FKiwhDph83XaGc0o0/edit?usp=sharing"",""งบพรบ!FQ77"")"),0)</f>
        <v>0</v>
      </c>
      <c r="M407" s="93">
        <f ca="1">IFERROR(__xludf.DUMMYFUNCTION("IMPORTRANGE(""https://docs.google.com/spreadsheets/d/1MeEWN-I1oV_STSDYn1IFDPWt_1FKiwhDph83XaGc0o0/edit?usp=sharing"",""งบพรบ!FV77"")"),0)</f>
        <v>0</v>
      </c>
      <c r="N407" s="93">
        <f ca="1">IFERROR(__xludf.DUMMYFUNCTION("IMPORTRANGE(""https://docs.google.com/spreadsheets/d/1MeEWN-I1oV_STSDYn1IFDPWt_1FKiwhDph83XaGc0o0/edit?usp=sharing"",""งบพรบ!FX77"")"),0)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IFERROR(__xludf.DUMMYFUNCTION("IMPORTRANGE(""https://docs.google.com/spreadsheets/d/1MeEWN-I1oV_STSDYn1IFDPWt_1FKiwhDph83XaGc0o0/edit?usp=sharing"",""งบพรบ!FT77"")"),0)</f>
        <v>0</v>
      </c>
      <c r="M410" s="93">
        <f ca="1">IFERROR(__xludf.DUMMYFUNCTION("IMPORTRANGE(""https://docs.google.com/spreadsheets/d/1MeEWN-I1oV_STSDYn1IFDPWt_1FKiwhDph83XaGc0o0/edit?usp=sharing"",""งบพรบ!FW77"")"),0)</f>
        <v>0</v>
      </c>
      <c r="N410" s="93">
        <f ca="1">IFERROR(__xludf.DUMMYFUNCTION("IMPORTRANGE(""https://docs.google.com/spreadsheets/d/1MeEWN-I1oV_STSDYn1IFDPWt_1FKiwhDph83XaGc0o0/edit?usp=sharing"",""งบพรบ!FY77"")"),0)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844092</v>
      </c>
      <c r="M414" s="553">
        <f t="shared" ca="1" si="181"/>
        <v>844092</v>
      </c>
      <c r="N414" s="553">
        <f t="shared" si="181"/>
        <v>416614.1</v>
      </c>
      <c r="O414" s="553">
        <f ca="1">IF(L414&gt;0,N414*100/L414,0)</f>
        <v>49.356480099325665</v>
      </c>
      <c r="P414" s="553">
        <f ca="1">IF(M414&gt;0,N414*100/M414,0)</f>
        <v>49.356480099325665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52142.07</v>
      </c>
      <c r="O419" s="155">
        <f t="shared" ref="O419:O424" ca="1" si="185">IF(L419&gt;0,N419*100/L419,0)</f>
        <v>78.338446514423083</v>
      </c>
      <c r="P419" s="155">
        <f t="shared" ref="P419:P424" ca="1" si="186">IF(M419&gt;0,N419*100/M419,0)</f>
        <v>78.338446514423083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52142.07</v>
      </c>
      <c r="O421" s="93">
        <f t="shared" ca="1" si="185"/>
        <v>78.338446514423083</v>
      </c>
      <c r="P421" s="93">
        <f t="shared" ca="1" si="186"/>
        <v>78.338446514423083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52142.07</v>
      </c>
      <c r="O422" s="498">
        <f t="shared" ca="1" si="185"/>
        <v>78.338446514423083</v>
      </c>
      <c r="P422" s="498">
        <f t="shared" ca="1" si="186"/>
        <v>78.338446514423083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IFERROR(__xludf.DUMMYFUNCTION("IMPORTRANGE(""https://docs.google.com/spreadsheets/d/1QqKyyYR6Q21VydFLVH3TRQUabQu_ym0Zz7PgGX0-kHA/edit?usp=sharing"",""แผน!EY77"")"),66560)</f>
        <v>66560</v>
      </c>
      <c r="M424" s="93">
        <f ca="1">L424</f>
        <v>66560</v>
      </c>
      <c r="N424" s="93">
        <f>N425+N426+N427+N428</f>
        <v>52142.07</v>
      </c>
      <c r="O424" s="93">
        <f t="shared" ca="1" si="185"/>
        <v>78.338446514423083</v>
      </c>
      <c r="P424" s="93">
        <f t="shared" ca="1" si="186"/>
        <v>78.338446514423083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36300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15842.07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IFERROR(__xludf.DUMMYFUNCTION("IMPORTRANGE(""https://docs.google.com/spreadsheets/d/1QqKyyYR6Q21VydFLVH3TRQUabQu_ym0Zz7PgGX0-kHA/edit?usp=sharing"",""แผน!FC77"")"),15)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IFERROR(__xludf.DUMMYFUNCTION("IMPORTRANGE(""https://docs.google.com/spreadsheets/d/1QqKyyYR6Q21VydFLVH3TRQUabQu_ym0Zz7PgGX0-kHA/edit?usp=sharing"",""แผน!FD77"")"),0)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IFERROR(__xludf.DUMMYFUNCTION("IMPORTRANGE(""https://docs.google.com/spreadsheets/d/1QqKyyYR6Q21VydFLVH3TRQUabQu_ym0Zz7PgGX0-kHA/edit?usp=sharing"",""แผน!FE77"")"),0)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IFERROR(__xludf.DUMMYFUNCTION("IMPORTRANGE(""https://docs.google.com/spreadsheets/d/1QqKyyYR6Q21VydFLVH3TRQUabQu_ym0Zz7PgGX0-kHA/edit?usp=sharing"",""แผน!FF77"")"),15)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IFERROR(__xludf.DUMMYFUNCTION("IMPORTRANGE(""https://docs.google.com/spreadsheets/d/1QqKyyYR6Q21VydFLVH3TRQUabQu_ym0Zz7PgGX0-kHA/edit?usp=sharing"",""แผน!FG77"")"),1)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IFERROR(__xludf.DUMMYFUNCTION("IMPORTRANGE(""https://docs.google.com/spreadsheets/d/1QqKyyYR6Q21VydFLVH3TRQUabQu_ym0Zz7PgGX0-kHA/edit?usp=sharing"",""แผน!FH77"")"),0)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10</v>
      </c>
      <c r="J442" s="589">
        <f t="shared" si="195"/>
        <v>10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30</v>
      </c>
      <c r="J443" s="569">
        <f t="shared" si="196"/>
        <v>30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87960</v>
      </c>
      <c r="M444" s="195">
        <f t="shared" ca="1" si="197"/>
        <v>87960</v>
      </c>
      <c r="N444" s="195">
        <f t="shared" si="197"/>
        <v>71268.08</v>
      </c>
      <c r="O444" s="195">
        <f t="shared" ref="O444:O449" ca="1" si="198">IF(L444&gt;0,N444*100/L444,0)</f>
        <v>81.02328331059573</v>
      </c>
      <c r="P444" s="195">
        <f t="shared" ref="P444:P449" ca="1" si="199">IF(M444&gt;0,N444*100/M444,0)</f>
        <v>81.02328331059573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87960</v>
      </c>
      <c r="M446" s="93">
        <f t="shared" ca="1" si="200"/>
        <v>87960</v>
      </c>
      <c r="N446" s="93">
        <f t="shared" si="200"/>
        <v>71268.08</v>
      </c>
      <c r="O446" s="93">
        <f t="shared" ca="1" si="198"/>
        <v>81.02328331059573</v>
      </c>
      <c r="P446" s="93">
        <f t="shared" ca="1" si="199"/>
        <v>81.02328331059573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87960</v>
      </c>
      <c r="M447" s="498">
        <f t="shared" ca="1" si="201"/>
        <v>87960</v>
      </c>
      <c r="N447" s="498">
        <f t="shared" si="201"/>
        <v>71268.08</v>
      </c>
      <c r="O447" s="498">
        <f t="shared" ca="1" si="198"/>
        <v>81.02328331059573</v>
      </c>
      <c r="P447" s="498">
        <f t="shared" ca="1" si="199"/>
        <v>81.02328331059573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IFERROR(__xludf.DUMMYFUNCTION("IMPORTRANGE(""https://docs.google.com/spreadsheets/d/1QqKyyYR6Q21VydFLVH3TRQUabQu_ym0Zz7PgGX0-kHA/edit?usp=sharing"",""แผน!FJ77"")"),87960)</f>
        <v>87960</v>
      </c>
      <c r="M449" s="93">
        <f ca="1">L449</f>
        <v>87960</v>
      </c>
      <c r="N449" s="93">
        <f>N450+N451+N452+N453</f>
        <v>71268.08</v>
      </c>
      <c r="O449" s="93">
        <f t="shared" ca="1" si="198"/>
        <v>81.02328331059573</v>
      </c>
      <c r="P449" s="93">
        <f t="shared" ca="1" si="199"/>
        <v>81.02328331059573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18153.599999999999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43010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10104.48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IFERROR(__xludf.DUMMYFUNCTION("IMPORTRANGE(""https://docs.google.com/spreadsheets/d/1QqKyyYR6Q21VydFLVH3TRQUabQu_ym0Zz7PgGX0-kHA/edit?usp=sharing"",""แผน!FN77"")"),10)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IFERROR(__xludf.DUMMYFUNCTION("IMPORTRANGE(""https://docs.google.com/spreadsheets/d/1QqKyyYR6Q21VydFLVH3TRQUabQu_ym0Zz7PgGX0-kHA/edit?usp=sharing"",""แผน!FO77"")"),30)</f>
        <v>30</v>
      </c>
      <c r="J462" s="215">
        <v>30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IFERROR(__xludf.DUMMYFUNCTION("IMPORTRANGE(""https://docs.google.com/spreadsheets/d/1QqKyyYR6Q21VydFLVH3TRQUabQu_ym0Zz7PgGX0-kHA/edit?usp=sharing"",""แผน!FO77"")"),30)</f>
        <v>30</v>
      </c>
      <c r="J463" s="215">
        <v>30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IFERROR(__xludf.DUMMYFUNCTION("IMPORTRANGE(""https://docs.google.com/spreadsheets/d/1QqKyyYR6Q21VydFLVH3TRQUabQu_ym0Zz7PgGX0-kHA/edit?usp=sharing"",""แผน!FN77"")"),10)</f>
        <v>10</v>
      </c>
      <c r="J464" s="215">
        <v>10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IFERROR(__xludf.DUMMYFUNCTION("IMPORTRANGE(""https://docs.google.com/spreadsheets/d/1QqKyyYR6Q21VydFLVH3TRQUabQu_ym0Zz7PgGX0-kHA/edit?usp=sharing"",""แผน!FX77"")"),41)</f>
        <v>41</v>
      </c>
      <c r="J465" s="589">
        <f>J485+J489+J492</f>
        <v>41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IFERROR(__xludf.DUMMYFUNCTION("IMPORTRANGE(""https://docs.google.com/spreadsheets/d/1QqKyyYR6Q21VydFLVH3TRQUabQu_ym0Zz7PgGX0-kHA/edit?usp=sharing"",""แผน!FW77"")"),400)</f>
        <v>400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341043</v>
      </c>
      <c r="M467" s="195">
        <f t="shared" ca="1" si="206"/>
        <v>341043</v>
      </c>
      <c r="N467" s="195">
        <f t="shared" si="206"/>
        <v>69240.27</v>
      </c>
      <c r="O467" s="195">
        <f t="shared" ref="O467:O472" ca="1" si="207">IF(L467&gt;0,N467*100/L467,0)</f>
        <v>20.302504376280996</v>
      </c>
      <c r="P467" s="195">
        <f t="shared" ref="P467:P472" ca="1" si="208">IF(M467&gt;0,N467*100/M467,0)</f>
        <v>20.302504376280996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341043</v>
      </c>
      <c r="M469" s="93">
        <f t="shared" ca="1" si="209"/>
        <v>341043</v>
      </c>
      <c r="N469" s="93">
        <f t="shared" si="209"/>
        <v>69240.27</v>
      </c>
      <c r="O469" s="93">
        <f t="shared" ca="1" si="207"/>
        <v>20.302504376280996</v>
      </c>
      <c r="P469" s="93">
        <f t="shared" ca="1" si="208"/>
        <v>20.302504376280996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341043</v>
      </c>
      <c r="M470" s="498">
        <f t="shared" ca="1" si="210"/>
        <v>341043</v>
      </c>
      <c r="N470" s="498">
        <f t="shared" si="210"/>
        <v>69240.27</v>
      </c>
      <c r="O470" s="498">
        <f t="shared" ca="1" si="207"/>
        <v>20.302504376280996</v>
      </c>
      <c r="P470" s="498">
        <f t="shared" ca="1" si="208"/>
        <v>20.302504376280996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IFERROR(__xludf.DUMMYFUNCTION("IMPORTRANGE(""https://docs.google.com/spreadsheets/d/1QqKyyYR6Q21VydFLVH3TRQUabQu_ym0Zz7PgGX0-kHA/edit?usp=sharing"",""แผน!FS77"")"),341043)</f>
        <v>341043</v>
      </c>
      <c r="M472" s="93">
        <f ca="1">L472</f>
        <v>341043</v>
      </c>
      <c r="N472" s="93">
        <f>N473+N474+N475+N476</f>
        <v>69240.27</v>
      </c>
      <c r="O472" s="93">
        <f t="shared" ca="1" si="207"/>
        <v>20.302504376280996</v>
      </c>
      <c r="P472" s="93">
        <f t="shared" ca="1" si="208"/>
        <v>20.302504376280996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61176.72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1100+317.17+6646.38</f>
        <v>8063.55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IFERROR(__xludf.DUMMYFUNCTION("IMPORTRANGE(""https://docs.google.com/spreadsheets/d/1QqKyyYR6Q21VydFLVH3TRQUabQu_ym0Zz7PgGX0-kHA/edit?usp=sharing"",""แผน!FY77"")"),360)</f>
        <v>360</v>
      </c>
      <c r="J483" s="215">
        <v>360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36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IFERROR(__xludf.DUMMYFUNCTION("IMPORTRANGE(""https://docs.google.com/spreadsheets/d/1QqKyyYR6Q21VydFLVH3TRQUabQu_ym0Zz7PgGX0-kHA/edit?usp=sharing"",""แผน!FZ77"")"),36)</f>
        <v>36</v>
      </c>
      <c r="J485" s="215">
        <v>36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IFERROR(__xludf.DUMMYFUNCTION("IMPORTRANGE(""https://docs.google.com/spreadsheets/d/1QqKyyYR6Q21VydFLVH3TRQUabQu_ym0Zz7PgGX0-kHA/edit?usp=sharing"",""แผน!GA77"")"),40)</f>
        <v>40</v>
      </c>
      <c r="J487" s="215">
        <v>40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4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IFERROR(__xludf.DUMMYFUNCTION("IMPORTRANGE(""https://docs.google.com/spreadsheets/d/1QqKyyYR6Q21VydFLVH3TRQUabQu_ym0Zz7PgGX0-kHA/edit?usp=sharing"",""แผน!GB77"")"),4)</f>
        <v>4</v>
      </c>
      <c r="J489" s="215">
        <v>4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IFERROR(__xludf.DUMMYFUNCTION("IMPORTRANGE(""https://docs.google.com/spreadsheets/d/1QqKyyYR6Q21VydFLVH3TRQUabQu_ym0Zz7PgGX0-kHA/edit?usp=sharing"",""แผน!GC77"")"),1)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IFERROR(__xludf.DUMMYFUNCTION("IMPORTRANGE(""https://docs.google.com/spreadsheets/d/1QqKyyYR6Q21VydFLVH3TRQUabQu_ym0Zz7PgGX0-kHA/edit?usp=sharing"",""แผน!FY77"")"),360)</f>
        <v>360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IFERROR(__xludf.DUMMYFUNCTION("IMPORTRANGE(""https://docs.google.com/spreadsheets/d/1QqKyyYR6Q21VydFLVH3TRQUabQu_ym0Zz7PgGX0-kHA/edit?usp=sharing"",""แผน!GA77"")"),40)</f>
        <v>40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IFERROR(__xludf.DUMMYFUNCTION("IMPORTRANGE(""https://docs.google.com/spreadsheets/d/1QqKyyYR6Q21VydFLVH3TRQUabQu_ym0Zz7PgGX0-kHA/edit?usp=sharing"",""แผน!GU77"")"),0)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IFERROR(__xludf.DUMMYFUNCTION("IMPORTRANGE(""https://docs.google.com/spreadsheets/d/1QqKyyYR6Q21VydFLVH3TRQUabQu_ym0Zz7PgGX0-kHA/edit?usp=sharing"",""แผน!GV77"")"),0)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IFERROR(__xludf.DUMMYFUNCTION("IMPORTRANGE(""https://docs.google.com/spreadsheets/d/1QqKyyYR6Q21VydFLVH3TRQUabQu_ym0Zz7PgGX0-kHA/edit?usp=sharing"",""แผน!GW77"")"),0)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IFERROR(__xludf.DUMMYFUNCTION("IMPORTRANGE(""https://docs.google.com/spreadsheets/d/1QqKyyYR6Q21VydFLVH3TRQUabQu_ym0Zz7PgGX0-kHA/edit?usp=sharing"",""แผน!GX77"")"),0)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IFERROR(__xludf.DUMMYFUNCTION("IMPORTRANGE(""https://docs.google.com/spreadsheets/d/1QqKyyYR6Q21VydFLVH3TRQUabQu_ym0Zz7PgGX0-kHA/edit?usp=sharing"",""แผน!GY77"")"),0)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IFERROR(__xludf.DUMMYFUNCTION("IMPORTRANGE(""https://docs.google.com/spreadsheets/d/1QqKyyYR6Q21VydFLVH3TRQUabQu_ym0Zz7PgGX0-kHA/edit?usp=sharing"",""แผน!GZ77"")"),0)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28605</v>
      </c>
      <c r="J543" s="686">
        <f t="shared" si="235"/>
        <v>26635.98</v>
      </c>
      <c r="K543" s="687">
        <f t="shared" ca="1" si="234"/>
        <v>93.116518091242796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348529</v>
      </c>
      <c r="M544" s="155">
        <f t="shared" ca="1" si="236"/>
        <v>348529</v>
      </c>
      <c r="N544" s="155">
        <f t="shared" si="236"/>
        <v>223963.68</v>
      </c>
      <c r="O544" s="155">
        <f t="shared" ref="O544:O549" ca="1" si="237">IF(L544&gt;0,N544*100/L544,0)</f>
        <v>64.259697184452364</v>
      </c>
      <c r="P544" s="155">
        <f t="shared" ref="P544:P549" ca="1" si="238">IF(M544&gt;0,N544*100/M544,0)</f>
        <v>64.259697184452364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348529</v>
      </c>
      <c r="M546" s="93">
        <f t="shared" ca="1" si="240"/>
        <v>348529</v>
      </c>
      <c r="N546" s="93">
        <f t="shared" si="240"/>
        <v>223963.68</v>
      </c>
      <c r="O546" s="93">
        <f t="shared" ca="1" si="237"/>
        <v>64.259697184452364</v>
      </c>
      <c r="P546" s="93">
        <f t="shared" ca="1" si="238"/>
        <v>64.259697184452364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348529</v>
      </c>
      <c r="M547" s="498">
        <f t="shared" ca="1" si="241"/>
        <v>348529</v>
      </c>
      <c r="N547" s="498">
        <f t="shared" si="241"/>
        <v>223963.68</v>
      </c>
      <c r="O547" s="498">
        <f t="shared" ca="1" si="237"/>
        <v>64.259697184452364</v>
      </c>
      <c r="P547" s="498">
        <f t="shared" ca="1" si="238"/>
        <v>64.259697184452364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IFERROR(__xludf.DUMMYFUNCTION("IMPORTRANGE(""https://docs.google.com/spreadsheets/d/1QqKyyYR6Q21VydFLVH3TRQUabQu_ym0Zz7PgGX0-kHA/edit?usp=sharing"",""แผน!HB77"")"),348529)</f>
        <v>348529</v>
      </c>
      <c r="M549" s="93">
        <f ca="1">L549</f>
        <v>348529</v>
      </c>
      <c r="N549" s="93">
        <f>N550+N551+N552+N553+N554</f>
        <v>223963.68</v>
      </c>
      <c r="O549" s="93">
        <f t="shared" ca="1" si="237"/>
        <v>64.259697184452364</v>
      </c>
      <c r="P549" s="93">
        <f t="shared" ca="1" si="238"/>
        <v>64.259697184452364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103133.34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120830.34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28605</v>
      </c>
      <c r="J559" s="707">
        <f t="shared" si="245"/>
        <v>26635.98</v>
      </c>
      <c r="K559" s="676">
        <f t="shared" ref="K559:K561" ca="1" si="246">IF(I559&gt;0,J559*100/I559,0)</f>
        <v>93.116518091242796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IFERROR(__xludf.DUMMYFUNCTION("IMPORTRANGE(""https://docs.google.com/spreadsheets/d/1QqKyyYR6Q21VydFLVH3TRQUabQu_ym0Zz7PgGX0-kHA/edit?usp=sharing"",""แผน!HH77"")"),28605)</f>
        <v>28605</v>
      </c>
      <c r="J560" s="193">
        <f t="shared" ref="J560:J561" si="247">J562+J564+J566</f>
        <v>28605.34</v>
      </c>
      <c r="K560" s="412">
        <f t="shared" ca="1" si="246"/>
        <v>100.00118860339101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IFERROR(__xludf.DUMMYFUNCTION("IMPORTRANGE(""https://docs.google.com/spreadsheets/d/1QqKyyYR6Q21VydFLVH3TRQUabQu_ym0Zz7PgGX0-kHA/edit?usp=sharing"",""แผน!HG77"")"),3927)</f>
        <v>3927</v>
      </c>
      <c r="J561" s="193">
        <f t="shared" si="247"/>
        <v>3927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24700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3423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2580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343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1325.34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161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IFERROR(__xludf.DUMMYFUNCTION("IMPORTRANGE(""https://docs.google.com/spreadsheets/d/1QqKyyYR6Q21VydFLVH3TRQUabQu_ym0Zz7PgGX0-kHA/edit?usp=sharing"",""แผน!HH77"")"),28605)</f>
        <v>28605</v>
      </c>
      <c r="J568" s="680">
        <f t="shared" ref="J568:J569" si="248">J570+J572+J574</f>
        <v>28605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IFERROR(__xludf.DUMMYFUNCTION("IMPORTRANGE(""https://docs.google.com/spreadsheets/d/1QqKyyYR6Q21VydFLVH3TRQUabQu_ym0Zz7PgGX0-kHA/edit?usp=sharing"",""แผน!HG77"")"),3927)</f>
        <v>3927</v>
      </c>
      <c r="J569" s="680">
        <f t="shared" si="248"/>
        <v>3927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24700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3423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2580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343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1325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161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IFERROR(__xludf.DUMMYFUNCTION("IMPORTRANGE(""https://docs.google.com/spreadsheets/d/1QqKyyYR6Q21VydFLVH3TRQUabQu_ym0Zz7PgGX0-kHA/edit?usp=sharing"",""แผน!HH77"")"),28605)</f>
        <v>28605</v>
      </c>
      <c r="J576" s="680">
        <f t="shared" ref="J576:J577" si="250">J578+J580+J582+J588+J590</f>
        <v>26635.98</v>
      </c>
      <c r="K576" s="412">
        <f t="shared" ref="K576:K577" ca="1" si="251">IF(I576&gt;0,J576*100/I576,0)</f>
        <v>93.116518091242796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IFERROR(__xludf.DUMMYFUNCTION("IMPORTRANGE(""https://docs.google.com/spreadsheets/d/1QqKyyYR6Q21VydFLVH3TRQUabQu_ym0Zz7PgGX0-kHA/edit?usp=sharing"",""แผน!HG77"")"),3927)</f>
        <v>3927</v>
      </c>
      <c r="J577" s="680">
        <f t="shared" si="250"/>
        <v>3665</v>
      </c>
      <c r="K577" s="412">
        <f t="shared" ca="1" si="251"/>
        <v>93.328240387063914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25296.2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3500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1339.78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165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1339.78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165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1717.29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IFERROR(__xludf.DUMMYFUNCTION("IMPORTRANGE(""https://docs.google.com/spreadsheets/d/1QqKyyYR6Q21VydFLVH3TRQUabQu_ym0Zz7PgGX0-kHA/edit?usp=sharing"",""แผน!HJ77"")"),1717.29)</f>
        <v>1717.29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IFERROR(__xludf.DUMMYFUNCTION("IMPORTRANGE(""https://docs.google.com/spreadsheets/d/1QqKyyYR6Q21VydFLVH3TRQUabQu_ym0Zz7PgGX0-kHA/edit?usp=sharing"",""แผน!HI77"")"),137)</f>
        <v>137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IFERROR(__xludf.DUMMYFUNCTION("IMPORTRANGE(""https://docs.google.com/spreadsheets/d/1QqKyyYR6Q21VydFLVH3TRQUabQu_ym0Zz7PgGX0-kHA/edit?usp=sharing"",""แผน!HL77"")"),53)</f>
        <v>53</v>
      </c>
      <c r="J620" s="727">
        <f t="shared" ref="J620:J621" si="260">J622+J624+J626</f>
        <v>53</v>
      </c>
      <c r="K620" s="728">
        <f t="shared" ref="K620:K621" ca="1" si="261">IF(I620&gt;0,J620*100/I620,0)</f>
        <v>100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IFERROR(__xludf.DUMMYFUNCTION("IMPORTRANGE(""https://docs.google.com/spreadsheets/d/1QqKyyYR6Q21VydFLVH3TRQUabQu_ym0Zz7PgGX0-kHA/edit?usp=sharing"",""แผน!HK77"")"),6)</f>
        <v>6</v>
      </c>
      <c r="J621" s="727">
        <f t="shared" si="260"/>
        <v>6</v>
      </c>
      <c r="K621" s="728">
        <f t="shared" ca="1" si="261"/>
        <v>100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53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6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IFERROR(__xludf.DUMMYFUNCTION("IMPORTRANGE(""https://docs.google.com/spreadsheets/d/1QqKyyYR6Q21VydFLVH3TRQUabQu_ym0Zz7PgGX0-kHA/edit?usp=sharing"",""แผน!HR77"")"),0)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IFERROR(__xludf.DUMMYFUNCTION("IMPORTRANGE(""https://docs.google.com/spreadsheets/d/1XWAQStnk-4SwqDmLtmXYiTMKHgktTP8We1SCoS47DrQ/edit?usp=sharing"",""จัดที่ดิน!AS77"")"),0)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IFERROR(__xludf.DUMMYFUNCTION("IMPORTRANGE(""https://docs.google.com/spreadsheets/d/1XWAQStnk-4SwqDmLtmXYiTMKHgktTP8We1SCoS47DrQ/edit?usp=sharing"",""จัดที่ดิน!AT77"")"),0)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IFERROR(__xludf.DUMMYFUNCTION("IMPORTRANGE(""https://docs.google.com/spreadsheets/d/1QqKyyYR6Q21VydFLVH3TRQUabQu_ym0Zz7PgGX0-kHA/edit?usp=sharing"",""แผน!HS77"")"),0)</f>
        <v>0</v>
      </c>
      <c r="J647" s="270">
        <f ca="1">IFERROR(__xludf.DUMMYFUNCTION("IMPORTRANGE(""https://docs.google.com/spreadsheets/d/1XWAQStnk-4SwqDmLtmXYiTMKHgktTP8We1SCoS47DrQ/edit?usp=sharing"",""จัดที่ดิน!AU77"")"),1)</f>
        <v>1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IFERROR(__xludf.DUMMYFUNCTION("IMPORTRANGE(""https://docs.google.com/spreadsheets/d/1XWAQStnk-4SwqDmLtmXYiTMKHgktTP8We1SCoS47DrQ/edit?usp=sharing"",""จัดที่ดิน!AV77"")"),0.15)</f>
        <v>0.15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IFERROR(__xludf.DUMMYFUNCTION("IMPORTRANGE(""https://docs.google.com/spreadsheets/d/1QqKyyYR6Q21VydFLVH3TRQUabQu_ym0Zz7PgGX0-kHA/edit?usp=sharing"",""แผน!HS77"")"),0)</f>
        <v>0</v>
      </c>
      <c r="J649" s="270">
        <f ca="1">IFERROR(__xludf.DUMMYFUNCTION("IMPORTRANGE(""https://docs.google.com/spreadsheets/d/1XWAQStnk-4SwqDmLtmXYiTMKHgktTP8We1SCoS47DrQ/edit?usp=sharing"",""จัดที่ดิน!AW77"")"),0)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IFERROR(__xludf.DUMMYFUNCTION("IMPORTRANGE(""https://docs.google.com/spreadsheets/d/1XWAQStnk-4SwqDmLtmXYiTMKHgktTP8We1SCoS47DrQ/edit?usp=sharing"",""จัดที่ดิน!AX77"")"),0)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IFERROR(__xludf.DUMMYFUNCTION("IMPORTRANGE(""https://docs.google.com/spreadsheets/d/1QqKyyYR6Q21VydFLVH3TRQUabQu_ym0Zz7PgGX0-kHA/edit?usp=sharing"",""แผน!HS77"")"),0)</f>
        <v>0</v>
      </c>
      <c r="J651" s="270">
        <f ca="1">IFERROR(__xludf.DUMMYFUNCTION("IMPORTRANGE(""https://docs.google.com/spreadsheets/d/1XWAQStnk-4SwqDmLtmXYiTMKHgktTP8We1SCoS47DrQ/edit?usp=sharing"",""จัดที่ดิน!AY77"")"),0)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IFERROR(__xludf.DUMMYFUNCTION("IMPORTRANGE(""https://docs.google.com/spreadsheets/d/1XWAQStnk-4SwqDmLtmXYiTMKHgktTP8We1SCoS47DrQ/edit?usp=sharing"",""จัดที่ดิน!AZ77"")"),0)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IFERROR(__xludf.DUMMYFUNCTION("IMPORTRANGE(""https://docs.google.com/spreadsheets/d/1QqKyyYR6Q21VydFLVH3TRQUabQu_ym0Zz7PgGX0-kHA/edit?usp=sharing"",""แผน!IA77"")"),0)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IFERROR(__xludf.DUMMYFUNCTION("IMPORTRANGE(""https://docs.google.com/spreadsheets/d/1QqKyyYR6Q21VydFLVH3TRQUabQu_ym0Zz7PgGX0-kHA/edit?usp=sharing"",""แผน!HZ77"")"),0)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IFERROR(__xludf.DUMMYFUNCTION("IMPORTRANGE(""https://docs.google.com/spreadsheets/d/1QqKyyYR6Q21VydFLVH3TRQUabQu_ym0Zz7PgGX0-kHA/edit?usp=sharing"",""แผน!HZ77"")"),0)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IFERROR(__xludf.DUMMYFUNCTION("IMPORTRANGE(""https://docs.google.com/spreadsheets/d/1QqKyyYR6Q21VydFLVH3TRQUabQu_ym0Zz7PgGX0-kHA/edit?usp=sharing"",""แผน!IB77"")"),0)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IFERROR(__xludf.DUMMYFUNCTION("IMPORTRANGE(""https://docs.google.com/spreadsheets/d/1QqKyyYR6Q21VydFLVH3TRQUabQu_ym0Zz7PgGX0-kHA/edit?usp=sharing"",""แผน!IC77"")"),0)</f>
        <v>0</v>
      </c>
      <c r="J699" s="270">
        <f ca="1">IFERROR(__xludf.DUMMYFUNCTION("IMPORTRANGE(""https://docs.google.com/spreadsheets/d/1XWAQStnk-4SwqDmLtmXYiTMKHgktTP8We1SCoS47DrQ/edit?usp=sharing"",""จัดที่ดิน!BB77"")"),0)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IFERROR(__xludf.DUMMYFUNCTION("IMPORTRANGE(""https://docs.google.com/spreadsheets/d/1QqKyyYR6Q21VydFLVH3TRQUabQu_ym0Zz7PgGX0-kHA/edit?usp=sharing"",""แผน!ID77"")"),0)</f>
        <v>0</v>
      </c>
      <c r="J700" s="270">
        <f ca="1">IFERROR(__xludf.DUMMYFUNCTION("IMPORTRANGE(""https://docs.google.com/spreadsheets/d/1XWAQStnk-4SwqDmLtmXYiTMKHgktTP8We1SCoS47DrQ/edit?usp=sharing"",""จัดที่ดิน!BD77"")"),0)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IFERROR(__xludf.DUMMYFUNCTION("IMPORTRANGE(""https://docs.google.com/spreadsheets/d/1QqKyyYR6Q21VydFLVH3TRQUabQu_ym0Zz7PgGX0-kHA/edit?usp=sharing"",""แผน!IE77"")"),0)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IFERROR(__xludf.DUMMYFUNCTION("IMPORTRANGE(""https://docs.google.com/spreadsheets/d/1QqKyyYR6Q21VydFLVH3TRQUabQu_ym0Zz7PgGX0-kHA/edit?usp=sharing"",""แผน!IF77"")"),0)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IFERROR(__xludf.DUMMYFUNCTION("IMPORTRANGE(""https://docs.google.com/spreadsheets/d/1QqKyyYR6Q21VydFLVH3TRQUabQu_ym0Zz7PgGX0-kHA/edit?usp=sharing"",""แผน!IG77"")"),0)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IFERROR(__xludf.DUMMYFUNCTION("IMPORTRANGE(""https://docs.google.com/spreadsheets/d/1QqKyyYR6Q21VydFLVH3TRQUabQu_ym0Zz7PgGX0-kHA/edit?usp=sharing"",""แผน!IH77"")"),0)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IFERROR(__xludf.DUMMYFUNCTION("IMPORTRANGE(""https://docs.google.com/spreadsheets/d/1XWAQStnk-4SwqDmLtmXYiTMKHgktTP8We1SCoS47DrQ/edit?usp=sharing"",""จัดที่ดิน!BF77"")"),0)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IFERROR(__xludf.DUMMYFUNCTION("IMPORTRANGE(""https://docs.google.com/spreadsheets/d/1XWAQStnk-4SwqDmLtmXYiTMKHgktTP8We1SCoS47DrQ/edit?usp=sharing"",""จัดที่ดิน!BG77"")"),0)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IFERROR(__xludf.DUMMYFUNCTION("IMPORTRANGE(""https://docs.google.com/spreadsheets/d/1QqKyyYR6Q21VydFLVH3TRQUabQu_ym0Zz7PgGX0-kHA/edit?usp=sharing"",""แผน!II77"")"),0)</f>
        <v>0</v>
      </c>
      <c r="J720" s="270">
        <f ca="1">IFERROR(__xludf.DUMMYFUNCTION("IMPORTRANGE(""https://docs.google.com/spreadsheets/d/1XWAQStnk-4SwqDmLtmXYiTMKHgktTP8We1SCoS47DrQ/edit?usp=sharing"",""จัดที่ดิน!BH77"")"),0)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IFERROR(__xludf.DUMMYFUNCTION("IMPORTRANGE(""https://docs.google.com/spreadsheets/d/1QqKyyYR6Q21VydFLVH3TRQUabQu_ym0Zz7PgGX0-kHA/edit?usp=sharing"",""แผน!IJ77"")"),0)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IFERROR(__xludf.DUMMYFUNCTION("IMPORTRANGE(""https://docs.google.com/spreadsheets/d/1QqKyyYR6Q21VydFLVH3TRQUabQu_ym0Zz7PgGX0-kHA/edit?usp=sharing"",""แผน!IK77"")"),0)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IFERROR(__xludf.DUMMYFUNCTION("IMPORTRANGE(""https://docs.google.com/spreadsheets/d/1QqKyyYR6Q21VydFLVH3TRQUabQu_ym0Zz7PgGX0-kHA/edit?usp=sharing"",""แผน!IL77"")"),0)</f>
        <v>0</v>
      </c>
      <c r="J723" s="270">
        <f ca="1">IFERROR(__xludf.DUMMYFUNCTION("IMPORTRANGE(""https://docs.google.com/spreadsheets/d/1XWAQStnk-4SwqDmLtmXYiTMKHgktTP8We1SCoS47DrQ/edit?usp=sharing"",""จัดที่ดิน!BM77"")"),0)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IFERROR(__xludf.DUMMYFUNCTION("IMPORTRANGE(""https://docs.google.com/spreadsheets/d/1XWAQStnk-4SwqDmLtmXYiTMKHgktTP8We1SCoS47DrQ/edit?usp=sharing"",""จัดที่ดิน!BN77"")"),0)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IFERROR(__xludf.DUMMYFUNCTION("IMPORTRANGE(""https://docs.google.com/spreadsheets/d/1QqKyyYR6Q21VydFLVH3TRQUabQu_ym0Zz7PgGX0-kHA/edit?usp=sharing"",""แผน!IM77"")"),0)</f>
        <v>0</v>
      </c>
      <c r="J725" s="270">
        <f ca="1">IFERROR(__xludf.DUMMYFUNCTION("IMPORTRANGE(""https://docs.google.com/spreadsheets/d/1XWAQStnk-4SwqDmLtmXYiTMKHgktTP8We1SCoS47DrQ/edit?usp=sharing"",""จัดที่ดิน!BO77"")"),0)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IFERROR(__xludf.DUMMYFUNCTION("IMPORTRANGE(""https://docs.google.com/spreadsheets/d/1QqKyyYR6Q21VydFLVH3TRQUabQu_ym0Zz7PgGX0-kHA/edit?usp=sharing"",""แผน!IN77"")"),0)</f>
        <v>0</v>
      </c>
      <c r="J726" s="270">
        <f ca="1">IFERROR(__xludf.DUMMYFUNCTION("IMPORTRANGE(""https://docs.google.com/spreadsheets/d/1XWAQStnk-4SwqDmLtmXYiTMKHgktTP8We1SCoS47DrQ/edit?usp=sharing"",""จัดที่ดิน!BR77"")"),0)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IFERROR(__xludf.DUMMYFUNCTION("IMPORTRANGE(""https://docs.google.com/spreadsheets/d/1XWAQStnk-4SwqDmLtmXYiTMKHgktTP8We1SCoS47DrQ/edit?usp=sharing"",""จัดที่ดิน!BS77"")"),0)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IFERROR(__xludf.DUMMYFUNCTION("IMPORTRANGE(""https://docs.google.com/spreadsheets/d/1QqKyyYR6Q21VydFLVH3TRQUabQu_ym0Zz7PgGX0-kHA/edit?usp=sharing"",""แผน!IO77"")"),0)</f>
        <v>0</v>
      </c>
      <c r="J728" s="270">
        <f ca="1">IFERROR(__xludf.DUMMYFUNCTION("IMPORTRANGE(""https://docs.google.com/spreadsheets/d/1XWAQStnk-4SwqDmLtmXYiTMKHgktTP8We1SCoS47DrQ/edit?usp=sharing"",""จัดที่ดิน!BT77"")"),0)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IFERROR(__xludf.DUMMYFUNCTION("IMPORTRANGE(""https://docs.google.com/spreadsheets/d/1QqKyyYR6Q21VydFLVH3TRQUabQu_ym0Zz7PgGX0-kHA/edit?usp=sharing"",""แผน!IP77"")"),0)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IFERROR(__xludf.DUMMYFUNCTION("IMPORTRANGE(""https://docs.google.com/spreadsheets/d/1QqKyyYR6Q21VydFLVH3TRQUabQu_ym0Zz7PgGX0-kHA/edit?usp=sharing"",""แผน!JN77"")"),0)</f>
        <v>0</v>
      </c>
      <c r="J800" s="184">
        <f ca="1">IFERROR(__xludf.DUMMYFUNCTION("IMPORTRANGE(""https://docs.google.com/spreadsheets/d/1MaWodYyGHDf7siQLGxnXhG4mBNTNIuy296niS2xXulU/edit?usp=sharing"",""RTK!H77"")"),0)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IFERROR(__xludf.DUMMYFUNCTION("IMPORTRANGE(""https://docs.google.com/spreadsheets/d/1MaWodYyGHDf7siQLGxnXhG4mBNTNIuy296niS2xXulU/edit?usp=sharing"",""RTK!I77"")"),0)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335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IFERROR(__xludf.DUMMYFUNCTION("IMPORTRANGE(""https://docs.google.com/spreadsheets/d/19vJNZY_5yjcGF2XGBMNZRCAIB0Kwfpjp8YEOfu-bneM/edit?usp=sharing"",""งานกองทุน!D77"")"),1143338.1)</f>
        <v>1143338.1000000001</v>
      </c>
      <c r="J821" s="270">
        <f ca="1">IFERROR(__xludf.DUMMYFUNCTION("IMPORTRANGE(""https://docs.google.com/spreadsheets/d/19vJNZY_5yjcGF2XGBMNZRCAIB0Kwfpjp8YEOfu-bneM/edit?usp=sharing"",""งานกองทุน!F77"")"),845647.34)</f>
        <v>845647.34</v>
      </c>
      <c r="K821" s="498">
        <f t="shared" ref="K821:K828" ca="1" si="335">IF(I821&gt;0,J821*100/I821,0)</f>
        <v>73.963015839321713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IFERROR(__xludf.DUMMYFUNCTION("IMPORTRANGE(""https://docs.google.com/spreadsheets/d/19vJNZY_5yjcGF2XGBMNZRCAIB0Kwfpjp8YEOfu-bneM/edit?usp=sharing"",""งานกองทุน!C77"")"),75)</f>
        <v>75</v>
      </c>
      <c r="J822" s="270">
        <f ca="1">IFERROR(__xludf.DUMMYFUNCTION("IMPORTRANGE(""https://docs.google.com/spreadsheets/d/19vJNZY_5yjcGF2XGBMNZRCAIB0Kwfpjp8YEOfu-bneM/edit?usp=sharing"",""งานกองทุน!E77"")"),60)</f>
        <v>60</v>
      </c>
      <c r="K822" s="498">
        <f t="shared" ca="1" si="335"/>
        <v>80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IFERROR(__xludf.DUMMYFUNCTION("IMPORTRANGE(""https://docs.google.com/spreadsheets/d/19vJNZY_5yjcGF2XGBMNZRCAIB0Kwfpjp8YEOfu-bneM/edit?usp=sharing"",""งานกองทุน!I77"")"),2117971.62)</f>
        <v>2117971.62</v>
      </c>
      <c r="J823" s="270">
        <f ca="1">IFERROR(__xludf.DUMMYFUNCTION("IMPORTRANGE(""https://docs.google.com/spreadsheets/d/19vJNZY_5yjcGF2XGBMNZRCAIB0Kwfpjp8YEOfu-bneM/edit?usp=sharing"",""งานกองทุน!K77"")"),425131.08)</f>
        <v>425131.08</v>
      </c>
      <c r="K823" s="498">
        <f t="shared" ca="1" si="335"/>
        <v>20.072557912744834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IFERROR(__xludf.DUMMYFUNCTION("IMPORTRANGE(""https://docs.google.com/spreadsheets/d/19vJNZY_5yjcGF2XGBMNZRCAIB0Kwfpjp8YEOfu-bneM/edit?usp=sharing"",""งานกองทุน!H77"")"),82)</f>
        <v>82</v>
      </c>
      <c r="J824" s="270">
        <f ca="1">IFERROR(__xludf.DUMMYFUNCTION("IMPORTRANGE(""https://docs.google.com/spreadsheets/d/19vJNZY_5yjcGF2XGBMNZRCAIB0Kwfpjp8YEOfu-bneM/edit?usp=sharing"",""งานกองทุน!J77"")"),43)</f>
        <v>43</v>
      </c>
      <c r="K824" s="498">
        <f t="shared" ca="1" si="335"/>
        <v>52.439024390243901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IFERROR(__xludf.DUMMYFUNCTION("IMPORTRANGE(""https://docs.google.com/spreadsheets/d/19vJNZY_5yjcGF2XGBMNZRCAIB0Kwfpjp8YEOfu-bneM/edit?usp=sharing"",""งานกองทุน!N77"")"),0)</f>
        <v>0</v>
      </c>
      <c r="J825" s="270">
        <f ca="1">IFERROR(__xludf.DUMMYFUNCTION("IMPORTRANGE(""https://docs.google.com/spreadsheets/d/19vJNZY_5yjcGF2XGBMNZRCAIB0Kwfpjp8YEOfu-bneM/edit?usp=sharing"",""งานกองทุน!P77"")"),0)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IFERROR(__xludf.DUMMYFUNCTION("IMPORTRANGE(""https://docs.google.com/spreadsheets/d/19vJNZY_5yjcGF2XGBMNZRCAIB0Kwfpjp8YEOfu-bneM/edit?usp=sharing"",""งานกองทุน!M77"")"),0)</f>
        <v>0</v>
      </c>
      <c r="J826" s="270">
        <f ca="1">IFERROR(__xludf.DUMMYFUNCTION("IMPORTRANGE(""https://docs.google.com/spreadsheets/d/19vJNZY_5yjcGF2XGBMNZRCAIB0Kwfpjp8YEOfu-bneM/edit?usp=sharing"",""งานกองทุน!O77"")"),0)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IFERROR(__xludf.DUMMYFUNCTION("IMPORTRANGE(""https://docs.google.com/spreadsheets/d/19vJNZY_5yjcGF2XGBMNZRCAIB0Kwfpjp8YEOfu-bneM/edit?usp=sharing"",""งานกองทุน!S77"")"),980000)</f>
        <v>980000</v>
      </c>
      <c r="J827" s="270">
        <f ca="1">IFERROR(__xludf.DUMMYFUNCTION("IMPORTRANGE(""https://docs.google.com/spreadsheets/d/19vJNZY_5yjcGF2XGBMNZRCAIB0Kwfpjp8YEOfu-bneM/edit?usp=sharing"",""งานกองทุน!U77"")"),325000)</f>
        <v>325000</v>
      </c>
      <c r="K827" s="498">
        <f t="shared" ca="1" si="335"/>
        <v>33.163265306122447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IFERROR(__xludf.DUMMYFUNCTION("IMPORTRANGE(""https://docs.google.com/spreadsheets/d/19vJNZY_5yjcGF2XGBMNZRCAIB0Kwfpjp8YEOfu-bneM/edit?usp=sharing"",""งานกองทุน!R77"")"),39)</f>
        <v>39</v>
      </c>
      <c r="J828" s="505">
        <f ca="1">IFERROR(__xludf.DUMMYFUNCTION("IMPORTRANGE(""https://docs.google.com/spreadsheets/d/19vJNZY_5yjcGF2XGBMNZRCAIB0Kwfpjp8YEOfu-bneM/edit?usp=sharing"",""งานกองทุน!T77"")"),14)</f>
        <v>14</v>
      </c>
      <c r="K828" s="506">
        <f t="shared" ca="1" si="335"/>
        <v>35.897435897435898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1267B-1835-48CC-94B8-1D63196C02B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338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4701598</v>
      </c>
      <c r="M8" s="22">
        <f t="shared" ca="1" si="0"/>
        <v>4956419</v>
      </c>
      <c r="N8" s="22">
        <f t="shared" ca="1" si="0"/>
        <v>3883880.13</v>
      </c>
      <c r="O8" s="22">
        <f t="shared" ref="O8:O16" ca="1" si="1">IF(L8&gt;0,N8*100/L8,0)</f>
        <v>82.607660842122186</v>
      </c>
      <c r="P8" s="22">
        <f t="shared" ref="P8:P16" ca="1" si="2">IF(M8&gt;0,N8*100/M8,0)</f>
        <v>78.360609343156824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4701598</v>
      </c>
      <c r="M10" s="30">
        <f t="shared" ca="1" si="3"/>
        <v>4956419</v>
      </c>
      <c r="N10" s="30">
        <f t="shared" ca="1" si="3"/>
        <v>3883880.13</v>
      </c>
      <c r="O10" s="30">
        <f t="shared" ca="1" si="1"/>
        <v>82.607660842122186</v>
      </c>
      <c r="P10" s="30">
        <f t="shared" ca="1" si="2"/>
        <v>78.360609343156824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4027598</v>
      </c>
      <c r="M11" s="498">
        <f t="shared" ca="1" si="4"/>
        <v>4283419</v>
      </c>
      <c r="N11" s="498">
        <f t="shared" ca="1" si="4"/>
        <v>3210880.13</v>
      </c>
      <c r="O11" s="498">
        <f t="shared" ca="1" si="1"/>
        <v>79.721961576105656</v>
      </c>
      <c r="P11" s="498">
        <f t="shared" ca="1" si="2"/>
        <v>74.960682809690113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4027598</v>
      </c>
      <c r="M13" s="93">
        <f t="shared" ca="1" si="5"/>
        <v>4283419</v>
      </c>
      <c r="N13" s="93">
        <f t="shared" ca="1" si="5"/>
        <v>3210880.13</v>
      </c>
      <c r="O13" s="93">
        <f t="shared" ca="1" si="1"/>
        <v>79.721961576105656</v>
      </c>
      <c r="P13" s="93">
        <f t="shared" ca="1" si="2"/>
        <v>74.960682809690113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674000</v>
      </c>
      <c r="M14" s="498">
        <f t="shared" ca="1" si="6"/>
        <v>673000</v>
      </c>
      <c r="N14" s="498">
        <f t="shared" ca="1" si="6"/>
        <v>673000</v>
      </c>
      <c r="O14" s="498">
        <f t="shared" ca="1" si="1"/>
        <v>99.85163204747775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674000</v>
      </c>
      <c r="M16" s="52">
        <f t="shared" ca="1" si="7"/>
        <v>673000</v>
      </c>
      <c r="N16" s="52">
        <f t="shared" ca="1" si="7"/>
        <v>673000</v>
      </c>
      <c r="O16" s="52">
        <f t="shared" ca="1" si="1"/>
        <v>99.85163204747775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3908755</v>
      </c>
      <c r="M18" s="22">
        <f t="shared" ca="1" si="8"/>
        <v>4163576</v>
      </c>
      <c r="N18" s="22">
        <f t="shared" ca="1" si="8"/>
        <v>3386167.58</v>
      </c>
      <c r="O18" s="22">
        <f t="shared" ref="O18:O26" ca="1" si="9">IF(L18&gt;0,N18*100/L18,0)</f>
        <v>86.630335746292616</v>
      </c>
      <c r="P18" s="22">
        <f t="shared" ref="P18:P26" ca="1" si="10">IF(M18&gt;0,N18*100/M18,0)</f>
        <v>81.328348035438765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3908755</v>
      </c>
      <c r="M20" s="30">
        <f t="shared" ca="1" si="11"/>
        <v>4163576</v>
      </c>
      <c r="N20" s="30">
        <f t="shared" ca="1" si="11"/>
        <v>3386167.58</v>
      </c>
      <c r="O20" s="30">
        <f t="shared" ca="1" si="9"/>
        <v>86.630335746292616</v>
      </c>
      <c r="P20" s="30">
        <f t="shared" ca="1" si="10"/>
        <v>81.328348035438765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3234755</v>
      </c>
      <c r="M21" s="498">
        <f t="shared" ca="1" si="12"/>
        <v>3490576</v>
      </c>
      <c r="N21" s="498">
        <f t="shared" ca="1" si="12"/>
        <v>2713167.58</v>
      </c>
      <c r="O21" s="498">
        <f t="shared" ca="1" si="9"/>
        <v>83.875520093484667</v>
      </c>
      <c r="P21" s="498">
        <f t="shared" ca="1" si="10"/>
        <v>77.728362883375127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3234755</v>
      </c>
      <c r="M23" s="93">
        <f t="shared" ca="1" si="13"/>
        <v>3490576</v>
      </c>
      <c r="N23" s="93">
        <f t="shared" ca="1" si="13"/>
        <v>2713167.58</v>
      </c>
      <c r="O23" s="93">
        <f t="shared" ca="1" si="9"/>
        <v>83.875520093484667</v>
      </c>
      <c r="P23" s="93">
        <f t="shared" ca="1" si="10"/>
        <v>77.728362883375127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674000</v>
      </c>
      <c r="M24" s="498">
        <f t="shared" ca="1" si="14"/>
        <v>673000</v>
      </c>
      <c r="N24" s="498">
        <f t="shared" ca="1" si="14"/>
        <v>673000</v>
      </c>
      <c r="O24" s="498">
        <f t="shared" ca="1" si="9"/>
        <v>99.85163204747775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674000</v>
      </c>
      <c r="M26" s="52">
        <f t="shared" ca="1" si="15"/>
        <v>673000</v>
      </c>
      <c r="N26" s="52">
        <f t="shared" ca="1" si="15"/>
        <v>673000</v>
      </c>
      <c r="O26" s="52">
        <f t="shared" ca="1" si="9"/>
        <v>99.85163204747775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792843</v>
      </c>
      <c r="M28" s="22">
        <f t="shared" ca="1" si="16"/>
        <v>792843</v>
      </c>
      <c r="N28" s="22">
        <f t="shared" si="16"/>
        <v>497712.55</v>
      </c>
      <c r="O28" s="22">
        <f t="shared" ref="O28:O37" ca="1" si="17">IF(L28&gt;0,N28*100/L28,0)</f>
        <v>62.775675638178051</v>
      </c>
      <c r="P28" s="22">
        <f t="shared" ref="P28:P37" ca="1" si="18">IF(M28&gt;0,N28*100/M28,0)</f>
        <v>62.775675638178051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792843</v>
      </c>
      <c r="M30" s="30">
        <f t="shared" ca="1" si="19"/>
        <v>792843</v>
      </c>
      <c r="N30" s="30">
        <f t="shared" si="19"/>
        <v>497712.55</v>
      </c>
      <c r="O30" s="30">
        <f t="shared" ca="1" si="17"/>
        <v>62.775675638178051</v>
      </c>
      <c r="P30" s="30">
        <f t="shared" ca="1" si="18"/>
        <v>62.775675638178051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792843</v>
      </c>
      <c r="M31" s="498">
        <f t="shared" ca="1" si="20"/>
        <v>792843</v>
      </c>
      <c r="N31" s="498">
        <f t="shared" si="20"/>
        <v>497712.55</v>
      </c>
      <c r="O31" s="498">
        <f t="shared" ca="1" si="17"/>
        <v>62.775675638178051</v>
      </c>
      <c r="P31" s="498">
        <f t="shared" ca="1" si="18"/>
        <v>62.775675638178051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792843</v>
      </c>
      <c r="M33" s="93">
        <f t="shared" ca="1" si="21"/>
        <v>792843</v>
      </c>
      <c r="N33" s="93">
        <f t="shared" si="21"/>
        <v>497712.55</v>
      </c>
      <c r="O33" s="93">
        <f t="shared" ca="1" si="17"/>
        <v>62.775675638178051</v>
      </c>
      <c r="P33" s="93">
        <f t="shared" ca="1" si="18"/>
        <v>62.775675638178051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3908755</v>
      </c>
      <c r="M37" s="858">
        <f t="shared" ca="1" si="24"/>
        <v>4163576</v>
      </c>
      <c r="N37" s="858">
        <f t="shared" ca="1" si="24"/>
        <v>3386167.58</v>
      </c>
      <c r="O37" s="858">
        <f t="shared" ca="1" si="17"/>
        <v>86.630335746292616</v>
      </c>
      <c r="P37" s="858">
        <f t="shared" ca="1" si="18"/>
        <v>81.328348035438765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614050</v>
      </c>
      <c r="M41" s="85">
        <f t="shared" ca="1" si="25"/>
        <v>635901</v>
      </c>
      <c r="N41" s="85">
        <f t="shared" ca="1" si="25"/>
        <v>538368</v>
      </c>
      <c r="O41" s="85">
        <f t="shared" ref="O41:O49" ca="1" si="26">IF(L41&gt;0,N41*100/L41,0)</f>
        <v>87.674945037049099</v>
      </c>
      <c r="P41" s="85">
        <f t="shared" ref="P41:P49" ca="1" si="27">IF(M41&gt;0,N41*100/M41,0)</f>
        <v>84.662235159246492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614050</v>
      </c>
      <c r="M43" s="92">
        <f t="shared" ca="1" si="28"/>
        <v>635901</v>
      </c>
      <c r="N43" s="92">
        <f t="shared" ca="1" si="28"/>
        <v>538368</v>
      </c>
      <c r="O43" s="92">
        <f t="shared" ca="1" si="26"/>
        <v>87.674945037049099</v>
      </c>
      <c r="P43" s="92">
        <f t="shared" ca="1" si="27"/>
        <v>84.662235159246492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614050</v>
      </c>
      <c r="M44" s="498">
        <f t="shared" ca="1" si="29"/>
        <v>635901</v>
      </c>
      <c r="N44" s="498">
        <f t="shared" ca="1" si="29"/>
        <v>538368</v>
      </c>
      <c r="O44" s="498">
        <f t="shared" ca="1" si="26"/>
        <v>87.674945037049099</v>
      </c>
      <c r="P44" s="498">
        <f t="shared" ca="1" si="27"/>
        <v>84.662235159246492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IFERROR(__xludf.DUMMYFUNCTION("IMPORTRANGE(""https://docs.google.com/spreadsheets/d/1MeEWN-I1oV_STSDYn1IFDPWt_1FKiwhDph83XaGc0o0/edit?usp=sharing"",""งบพรบ!M78"")"),614050)</f>
        <v>614050</v>
      </c>
      <c r="M46" s="93">
        <f ca="1">IFERROR(__xludf.DUMMYFUNCTION("IMPORTRANGE(""https://docs.google.com/spreadsheets/d/1MeEWN-I1oV_STSDYn1IFDPWt_1FKiwhDph83XaGc0o0/edit?usp=sharing"",""งบพรบ!R78"")"),635901)</f>
        <v>635901</v>
      </c>
      <c r="N46" s="93">
        <f ca="1">IFERROR(__xludf.DUMMYFUNCTION("IMPORTRANGE(""https://docs.google.com/spreadsheets/d/1MeEWN-I1oV_STSDYn1IFDPWt_1FKiwhDph83XaGc0o0/edit?usp=sharing"",""งบพรบ!T78"")"),538368)</f>
        <v>538368</v>
      </c>
      <c r="O46" s="93">
        <f t="shared" ca="1" si="26"/>
        <v>87.674945037049099</v>
      </c>
      <c r="P46" s="93">
        <f t="shared" ca="1" si="27"/>
        <v>84.662235159246492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IFERROR(__xludf.DUMMYFUNCTION("IMPORTRANGE(""https://docs.google.com/spreadsheets/d/1MeEWN-I1oV_STSDYn1IFDPWt_1FKiwhDph83XaGc0o0/edit?usp=sharing"",""งบพรบ!P78"")"),0)</f>
        <v>0</v>
      </c>
      <c r="M49" s="52">
        <f ca="1">IFERROR(__xludf.DUMMYFUNCTION("IMPORTRANGE(""https://docs.google.com/spreadsheets/d/1MeEWN-I1oV_STSDYn1IFDPWt_1FKiwhDph83XaGc0o0/edit?usp=sharing"",""งบพรบ!S78"")"),0)</f>
        <v>0</v>
      </c>
      <c r="N49" s="52">
        <f ca="1">IFERROR(__xludf.DUMMYFUNCTION("IMPORTRANGE(""https://docs.google.com/spreadsheets/d/1MeEWN-I1oV_STSDYn1IFDPWt_1FKiwhDph83XaGc0o0/edit?usp=sharing"",""งบพรบ!U78"")"),0)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1100300</v>
      </c>
      <c r="M53" s="116">
        <f t="shared" ca="1" si="31"/>
        <v>1120200</v>
      </c>
      <c r="N53" s="116">
        <f t="shared" ca="1" si="31"/>
        <v>1076879.78</v>
      </c>
      <c r="O53" s="116">
        <f t="shared" ref="O53:O61" ca="1" si="32">IF(L53&gt;0,N53*100/L53,0)</f>
        <v>97.871469599200225</v>
      </c>
      <c r="P53" s="116">
        <f t="shared" ref="P53:P61" ca="1" si="33">IF(M53&gt;0,N53*100/M53,0)</f>
        <v>96.132813783252985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1100300</v>
      </c>
      <c r="M55" s="123">
        <f t="shared" ca="1" si="34"/>
        <v>1120200</v>
      </c>
      <c r="N55" s="123">
        <f t="shared" ca="1" si="34"/>
        <v>1076879.78</v>
      </c>
      <c r="O55" s="123">
        <f t="shared" ca="1" si="32"/>
        <v>97.871469599200225</v>
      </c>
      <c r="P55" s="123">
        <f t="shared" ca="1" si="33"/>
        <v>96.132813783252985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750300</v>
      </c>
      <c r="M56" s="498">
        <f t="shared" ca="1" si="35"/>
        <v>770200</v>
      </c>
      <c r="N56" s="498">
        <f t="shared" ca="1" si="35"/>
        <v>726879.78</v>
      </c>
      <c r="O56" s="498">
        <f t="shared" ca="1" si="32"/>
        <v>96.87855257896841</v>
      </c>
      <c r="P56" s="498">
        <f t="shared" ca="1" si="33"/>
        <v>94.375458322513637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IFERROR(__xludf.DUMMYFUNCTION("IMPORTRANGE(""https://docs.google.com/spreadsheets/d/1MeEWN-I1oV_STSDYn1IFDPWt_1FKiwhDph83XaGc0o0/edit?usp=sharing"",""งบพรบ!W78"")"),750300)</f>
        <v>750300</v>
      </c>
      <c r="M58" s="93">
        <f ca="1">IFERROR(__xludf.DUMMYFUNCTION("IMPORTRANGE(""https://docs.google.com/spreadsheets/d/1MeEWN-I1oV_STSDYn1IFDPWt_1FKiwhDph83XaGc0o0/edit?usp=sharing"",""งบพรบ!AB78"")"),770200)</f>
        <v>770200</v>
      </c>
      <c r="N58" s="93">
        <f ca="1">IFERROR(__xludf.DUMMYFUNCTION("IMPORTRANGE(""https://docs.google.com/spreadsheets/d/1MeEWN-I1oV_STSDYn1IFDPWt_1FKiwhDph83XaGc0o0/edit?usp=sharing"",""งบพรบ!AD78"")"),726879.78)</f>
        <v>726879.78</v>
      </c>
      <c r="O58" s="93">
        <f t="shared" ca="1" si="32"/>
        <v>96.87855257896841</v>
      </c>
      <c r="P58" s="93">
        <f t="shared" ca="1" si="33"/>
        <v>94.375458322513637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350000</v>
      </c>
      <c r="M59" s="498">
        <f t="shared" ca="1" si="36"/>
        <v>350000</v>
      </c>
      <c r="N59" s="498">
        <f t="shared" ca="1" si="36"/>
        <v>350000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IFERROR(__xludf.DUMMYFUNCTION("IMPORTRANGE(""https://docs.google.com/spreadsheets/d/1MeEWN-I1oV_STSDYn1IFDPWt_1FKiwhDph83XaGc0o0/edit?usp=sharing"",""งบพรบ!Z78"")"),350000)</f>
        <v>350000</v>
      </c>
      <c r="M61" s="52">
        <f ca="1">IFERROR(__xludf.DUMMYFUNCTION("IMPORTRANGE(""https://docs.google.com/spreadsheets/d/1MeEWN-I1oV_STSDYn1IFDPWt_1FKiwhDph83XaGc0o0/edit?usp=sharing"",""งบพรบ!AC78"")"),350000)</f>
        <v>350000</v>
      </c>
      <c r="N61" s="52">
        <f ca="1">IFERROR(__xludf.DUMMYFUNCTION("IMPORTRANGE(""https://docs.google.com/spreadsheets/d/1MeEWN-I1oV_STSDYn1IFDPWt_1FKiwhDph83XaGc0o0/edit?usp=sharing"",""งบพรบ!AE78"")"),350000)</f>
        <v>350000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IFERROR(__xludf.DUMMYFUNCTION("IMPORTRANGE(""https://docs.google.com/spreadsheets/d/1MeEWN-I1oV_STSDYn1IFDPWt_1FKiwhDph83XaGc0o0/edit?usp=sharing"",""งบพรบ!AG78"")"),0)</f>
        <v>0</v>
      </c>
      <c r="M71" s="93">
        <f ca="1">IFERROR(__xludf.DUMMYFUNCTION("IMPORTRANGE(""https://docs.google.com/spreadsheets/d/1MeEWN-I1oV_STSDYn1IFDPWt_1FKiwhDph83XaGc0o0/edit?usp=sharing"",""งบพรบ!AL78"")"),0)</f>
        <v>0</v>
      </c>
      <c r="N71" s="93">
        <f ca="1">IFERROR(__xludf.DUMMYFUNCTION("IMPORTRANGE(""https://docs.google.com/spreadsheets/d/1MeEWN-I1oV_STSDYn1IFDPWt_1FKiwhDph83XaGc0o0/edit?usp=sharing"",""งบพรบ!AN78"")"),0)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IFERROR(__xludf.DUMMYFUNCTION("IMPORTRANGE(""https://docs.google.com/spreadsheets/d/1MeEWN-I1oV_STSDYn1IFDPWt_1FKiwhDph83XaGc0o0/edit?usp=sharing"",""งบพรบ!AJ78"")"),0)</f>
        <v>0</v>
      </c>
      <c r="M74" s="93">
        <f ca="1">IFERROR(__xludf.DUMMYFUNCTION("IMPORTRANGE(""https://docs.google.com/spreadsheets/d/1MeEWN-I1oV_STSDYn1IFDPWt_1FKiwhDph83XaGc0o0/edit?usp=sharing"",""งบพรบ!AM78"")"),0)</f>
        <v>0</v>
      </c>
      <c r="N74" s="93">
        <f ca="1">IFERROR(__xludf.DUMMYFUNCTION("IMPORTRANGE(""https://docs.google.com/spreadsheets/d/1MeEWN-I1oV_STSDYn1IFDPWt_1FKiwhDph83XaGc0o0/edit?usp=sharing"",""งบพรบ!AO78"")"),0)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IFERROR(__xludf.DUMMYFUNCTION("IMPORTRANGE(""https://docs.google.com/spreadsheets/d/1QqKyyYR6Q21VydFLVH3TRQUabQu_ym0Zz7PgGX0-kHA/edit?usp=sharing"",""แผน!J78"")"),0)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26440</v>
      </c>
      <c r="M88" s="155">
        <f t="shared" ca="1" si="49"/>
        <v>26440</v>
      </c>
      <c r="N88" s="155">
        <f t="shared" ca="1" si="49"/>
        <v>21303</v>
      </c>
      <c r="O88" s="155">
        <f t="shared" ref="O88:O96" ca="1" si="50">IF(L88&gt;0,N88*100/L88,0)</f>
        <v>80.571104387291982</v>
      </c>
      <c r="P88" s="155">
        <f t="shared" ref="P88:P96" ca="1" si="51">IF(M88&gt;0,N88*100/M88,0)</f>
        <v>80.571104387291982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26440</v>
      </c>
      <c r="M90" s="93">
        <f t="shared" ca="1" si="52"/>
        <v>26440</v>
      </c>
      <c r="N90" s="93">
        <f t="shared" ca="1" si="52"/>
        <v>21303</v>
      </c>
      <c r="O90" s="93">
        <f t="shared" ca="1" si="50"/>
        <v>80.571104387291982</v>
      </c>
      <c r="P90" s="93">
        <f t="shared" ca="1" si="51"/>
        <v>80.571104387291982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26440</v>
      </c>
      <c r="M91" s="498">
        <f t="shared" ca="1" si="53"/>
        <v>26440</v>
      </c>
      <c r="N91" s="498">
        <f t="shared" ca="1" si="53"/>
        <v>21303</v>
      </c>
      <c r="O91" s="498">
        <f t="shared" ca="1" si="50"/>
        <v>80.571104387291982</v>
      </c>
      <c r="P91" s="498">
        <f t="shared" ca="1" si="51"/>
        <v>80.571104387291982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IFERROR(__xludf.DUMMYFUNCTION("IMPORTRANGE(""https://docs.google.com/spreadsheets/d/1MeEWN-I1oV_STSDYn1IFDPWt_1FKiwhDph83XaGc0o0/edit?usp=sharing"",""งบพรบ!AQ78"")"),26440)</f>
        <v>26440</v>
      </c>
      <c r="M93" s="93">
        <f ca="1">IFERROR(__xludf.DUMMYFUNCTION("IMPORTRANGE(""https://docs.google.com/spreadsheets/d/1MeEWN-I1oV_STSDYn1IFDPWt_1FKiwhDph83XaGc0o0/edit?usp=sharing"",""งบพรบ!AV78"")"),26440)</f>
        <v>26440</v>
      </c>
      <c r="N93" s="93">
        <f ca="1">IFERROR(__xludf.DUMMYFUNCTION("IMPORTRANGE(""https://docs.google.com/spreadsheets/d/1MeEWN-I1oV_STSDYn1IFDPWt_1FKiwhDph83XaGc0o0/edit?usp=sharing"",""งบพรบ!AX78"")"),21303)</f>
        <v>21303</v>
      </c>
      <c r="O93" s="93">
        <f t="shared" ca="1" si="50"/>
        <v>80.571104387291982</v>
      </c>
      <c r="P93" s="93">
        <f t="shared" ca="1" si="51"/>
        <v>80.571104387291982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IFERROR(__xludf.DUMMYFUNCTION("IMPORTRANGE(""https://docs.google.com/spreadsheets/d/1MeEWN-I1oV_STSDYn1IFDPWt_1FKiwhDph83XaGc0o0/edit?usp=sharing"",""งบพรบ!AT78"")"),0)</f>
        <v>0</v>
      </c>
      <c r="M96" s="93">
        <f ca="1">IFERROR(__xludf.DUMMYFUNCTION("IMPORTRANGE(""https://docs.google.com/spreadsheets/d/1MeEWN-I1oV_STSDYn1IFDPWt_1FKiwhDph83XaGc0o0/edit?usp=sharing"",""งบพรบ!AW78"")"),0)</f>
        <v>0</v>
      </c>
      <c r="N96" s="93">
        <f ca="1">IFERROR(__xludf.DUMMYFUNCTION("IMPORTRANGE(""https://docs.google.com/spreadsheets/d/1MeEWN-I1oV_STSDYn1IFDPWt_1FKiwhDph83XaGc0o0/edit?usp=sharing"",""งบพรบ!AY78"")"),0)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IFERROR(__xludf.DUMMYFUNCTION("IMPORTRANGE(""https://docs.google.com/spreadsheets/d/1QqKyyYR6Q21VydFLVH3TRQUabQu_ym0Zz7PgGX0-kHA/edit?usp=sharing"",""แผน!K78"")"),30)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IFERROR(__xludf.DUMMYFUNCTION("IMPORTRANGE(""https://docs.google.com/spreadsheets/d/1QqKyyYR6Q21VydFLVH3TRQUabQu_ym0Zz7PgGX0-kHA/edit?usp=sharing"",""แผน!L78"")"),10)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IFERROR(__xludf.DUMMYFUNCTION("IMPORTRANGE(""https://docs.google.com/spreadsheets/d/1QqKyyYR6Q21VydFLVH3TRQUabQu_ym0Zz7PgGX0-kHA/edit?usp=sharing"",""แผน!M78"")"),0)</f>
        <v>0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IFERROR(__xludf.DUMMYFUNCTION("IMPORTRANGE(""https://docs.google.com/spreadsheets/d/1QqKyyYR6Q21VydFLVH3TRQUabQu_ym0Zz7PgGX0-kHA/edit?usp=sharing"",""แผน!N78"")"),30)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IFERROR(__xludf.DUMMYFUNCTION("IMPORTRANGE(""https://docs.google.com/spreadsheets/d/1QqKyyYR6Q21VydFLVH3TRQUabQu_ym0Zz7PgGX0-kHA/edit?usp=sharing"",""แผน!O78"")"),10)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IFERROR(__xludf.DUMMYFUNCTION("IMPORTRANGE(""https://docs.google.com/spreadsheets/d/1QqKyyYR6Q21VydFLVH3TRQUabQu_ym0Zz7PgGX0-kHA/edit?usp=sharing"",""แผน!O78"")"),10)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IFERROR(__xludf.DUMMYFUNCTION("IMPORTRANGE(""https://docs.google.com/spreadsheets/d/1QqKyyYR6Q21VydFLVH3TRQUabQu_ym0Zz7PgGX0-kHA/edit?usp=sharing"",""แผน!P78"")"),0)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IFERROR(__xludf.DUMMYFUNCTION("IMPORTRANGE(""https://docs.google.com/spreadsheets/d/1QqKyyYR6Q21VydFLVH3TRQUabQu_ym0Zz7PgGX0-kHA/edit?usp=sharing"",""แผน!P78"")"),0)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IFERROR(__xludf.DUMMYFUNCTION("IMPORTRANGE(""https://docs.google.com/spreadsheets/d/1QqKyyYR6Q21VydFLVH3TRQUabQu_ym0Zz7PgGX0-kHA/edit?usp=sharing"",""แผน!Q78"")"),0)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IFERROR(__xludf.DUMMYFUNCTION("IMPORTRANGE(""https://docs.google.com/spreadsheets/d/1QqKyyYR6Q21VydFLVH3TRQUabQu_ym0Zz7PgGX0-kHA/edit?usp=sharing"",""แผน!Q78"")"),0)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IFERROR(__xludf.DUMMYFUNCTION("IMPORTRANGE(""https://docs.google.com/spreadsheets/d/1QqKyyYR6Q21VydFLVH3TRQUabQu_ym0Zz7PgGX0-kHA/edit?usp=sharing"",""แผน!R78"")"),10)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IFERROR(__xludf.DUMMYFUNCTION("IMPORTRANGE(""https://docs.google.com/spreadsheets/d/1QqKyyYR6Q21VydFLVH3TRQUabQu_ym0Zz7PgGX0-kHA/edit?usp=sharing"",""แผน!R78"")"),10)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IFERROR(__xludf.DUMMYFUNCTION("IMPORTRANGE(""https://docs.google.com/spreadsheets/d/1QqKyyYR6Q21VydFLVH3TRQUabQu_ym0Zz7PgGX0-kHA/edit?usp=sharing"",""แผน!R78"")"),10)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IFERROR(__xludf.DUMMYFUNCTION("IMPORTRANGE(""https://docs.google.com/spreadsheets/d/1QqKyyYR6Q21VydFLVH3TRQUabQu_ym0Zz7PgGX0-kHA/edit?usp=sharing"",""แผน!S78"")"),0)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IFERROR(__xludf.DUMMYFUNCTION("IMPORTRANGE(""https://docs.google.com/spreadsheets/d/1QqKyyYR6Q21VydFLVH3TRQUabQu_ym0Zz7PgGX0-kHA/edit?usp=sharing"",""แผน!T78"")"),0)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42000</v>
      </c>
      <c r="M119" s="155">
        <f t="shared" ca="1" si="60"/>
        <v>42000</v>
      </c>
      <c r="N119" s="155">
        <f t="shared" ca="1" si="60"/>
        <v>42000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42000</v>
      </c>
      <c r="M121" s="93">
        <f t="shared" ca="1" si="63"/>
        <v>42000</v>
      </c>
      <c r="N121" s="93">
        <f t="shared" ca="1" si="63"/>
        <v>42000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IFERROR(__xludf.DUMMYFUNCTION("IMPORTRANGE(""https://docs.google.com/spreadsheets/d/1MeEWN-I1oV_STSDYn1IFDPWt_1FKiwhDph83XaGc0o0/edit?usp=sharing"",""งบพรบ!BA78"")"),0)</f>
        <v>0</v>
      </c>
      <c r="M124" s="93">
        <f ca="1">IFERROR(__xludf.DUMMYFUNCTION("IMPORTRANGE(""https://docs.google.com/spreadsheets/d/1MeEWN-I1oV_STSDYn1IFDPWt_1FKiwhDph83XaGc0o0/edit?usp=sharing"",""งบพรบ!BF78"")"),0)</f>
        <v>0</v>
      </c>
      <c r="N124" s="93">
        <f ca="1">IFERROR(__xludf.DUMMYFUNCTION("IMPORTRANGE(""https://docs.google.com/spreadsheets/d/1MeEWN-I1oV_STSDYn1IFDPWt_1FKiwhDph83XaGc0o0/edit?usp=sharing"",""งบพรบ!BH78"")"),0)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42000</v>
      </c>
      <c r="M125" s="498">
        <f t="shared" ca="1" si="65"/>
        <v>42000</v>
      </c>
      <c r="N125" s="498">
        <f t="shared" ca="1" si="65"/>
        <v>42000</v>
      </c>
      <c r="O125" s="498">
        <f t="shared" ca="1" si="61"/>
        <v>100</v>
      </c>
      <c r="P125" s="498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IFERROR(__xludf.DUMMYFUNCTION("IMPORTRANGE(""https://docs.google.com/spreadsheets/d/1MeEWN-I1oV_STSDYn1IFDPWt_1FKiwhDph83XaGc0o0/edit?usp=sharing"",""งบพรบ!BD78"")"),42000)</f>
        <v>42000</v>
      </c>
      <c r="M127" s="93">
        <f ca="1">IFERROR(__xludf.DUMMYFUNCTION("IMPORTRANGE(""https://docs.google.com/spreadsheets/d/1MeEWN-I1oV_STSDYn1IFDPWt_1FKiwhDph83XaGc0o0/edit?usp=sharing"",""งบพรบ!BG78"")"),42000)</f>
        <v>42000</v>
      </c>
      <c r="N127" s="93">
        <f ca="1">IFERROR(__xludf.DUMMYFUNCTION("IMPORTRANGE(""https://docs.google.com/spreadsheets/d/1MeEWN-I1oV_STSDYn1IFDPWt_1FKiwhDph83XaGc0o0/edit?usp=sharing"",""งบพรบ!BI78"")"),42000)</f>
        <v>42000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303310</v>
      </c>
      <c r="M132" s="155">
        <f t="shared" ca="1" si="69"/>
        <v>303310</v>
      </c>
      <c r="N132" s="155">
        <f t="shared" ca="1" si="69"/>
        <v>248410</v>
      </c>
      <c r="O132" s="155">
        <f t="shared" ref="O132:O140" ca="1" si="70">IF(L132&gt;0,N132*100/L132,0)</f>
        <v>81.899706570835122</v>
      </c>
      <c r="P132" s="155">
        <f t="shared" ref="P132:P140" ca="1" si="71">IF(M132&gt;0,N132*100/M132,0)</f>
        <v>81.899706570835122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303310</v>
      </c>
      <c r="M134" s="93">
        <f t="shared" ca="1" si="72"/>
        <v>303310</v>
      </c>
      <c r="N134" s="93">
        <f t="shared" ca="1" si="72"/>
        <v>248410</v>
      </c>
      <c r="O134" s="93">
        <f t="shared" ca="1" si="70"/>
        <v>81.899706570835122</v>
      </c>
      <c r="P134" s="93">
        <f t="shared" ca="1" si="71"/>
        <v>81.899706570835122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97310</v>
      </c>
      <c r="M135" s="498">
        <f t="shared" ca="1" si="73"/>
        <v>97310</v>
      </c>
      <c r="N135" s="498">
        <f t="shared" ca="1" si="73"/>
        <v>42410</v>
      </c>
      <c r="O135" s="498">
        <f t="shared" ca="1" si="70"/>
        <v>43.582365635597576</v>
      </c>
      <c r="P135" s="498">
        <f t="shared" ca="1" si="71"/>
        <v>43.582365635597576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IFERROR(__xludf.DUMMYFUNCTION("IMPORTRANGE(""https://docs.google.com/spreadsheets/d/1MeEWN-I1oV_STSDYn1IFDPWt_1FKiwhDph83XaGc0o0/edit?usp=sharing"",""งบพรบ!BK78"")"),97310)</f>
        <v>97310</v>
      </c>
      <c r="M137" s="93">
        <f ca="1">IFERROR(__xludf.DUMMYFUNCTION("IMPORTRANGE(""https://docs.google.com/spreadsheets/d/1MeEWN-I1oV_STSDYn1IFDPWt_1FKiwhDph83XaGc0o0/edit?usp=sharing"",""งบพรบ!BP78"")"),97310)</f>
        <v>97310</v>
      </c>
      <c r="N137" s="93">
        <f ca="1">IFERROR(__xludf.DUMMYFUNCTION("IMPORTRANGE(""https://docs.google.com/spreadsheets/d/1MeEWN-I1oV_STSDYn1IFDPWt_1FKiwhDph83XaGc0o0/edit?usp=sharing"",""งบพรบ!BR78"")"),42410)</f>
        <v>42410</v>
      </c>
      <c r="O137" s="93">
        <f t="shared" ca="1" si="70"/>
        <v>43.582365635597576</v>
      </c>
      <c r="P137" s="93">
        <f t="shared" ca="1" si="71"/>
        <v>43.582365635597576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206000</v>
      </c>
      <c r="M138" s="498">
        <f t="shared" ca="1" si="74"/>
        <v>206000</v>
      </c>
      <c r="N138" s="498">
        <f t="shared" ca="1" si="74"/>
        <v>206000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IFERROR(__xludf.DUMMYFUNCTION("IMPORTRANGE(""https://docs.google.com/spreadsheets/d/1MeEWN-I1oV_STSDYn1IFDPWt_1FKiwhDph83XaGc0o0/edit?usp=sharing"",""งบพรบ!BN78"")"),206000)</f>
        <v>206000</v>
      </c>
      <c r="M140" s="93">
        <f ca="1">IFERROR(__xludf.DUMMYFUNCTION("IMPORTRANGE(""https://docs.google.com/spreadsheets/d/1MeEWN-I1oV_STSDYn1IFDPWt_1FKiwhDph83XaGc0o0/edit?usp=sharing"",""งบพรบ!BQ78"")"),206000)</f>
        <v>206000</v>
      </c>
      <c r="N140" s="93">
        <f ca="1">IFERROR(__xludf.DUMMYFUNCTION("IMPORTRANGE(""https://docs.google.com/spreadsheets/d/1MeEWN-I1oV_STSDYn1IFDPWt_1FKiwhDph83XaGc0o0/edit?usp=sharing"",""งบพรบ!BS78"")"),206000)</f>
        <v>206000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IFERROR(__xludf.DUMMYFUNCTION("IMPORTRANGE(""https://docs.google.com/spreadsheets/d/1QqKyyYR6Q21VydFLVH3TRQUabQu_ym0Zz7PgGX0-kHA/edit?usp=sharing"",""แผน!U78"")"),10)</f>
        <v>10</v>
      </c>
      <c r="J144" s="215">
        <v>20</v>
      </c>
      <c r="K144" s="498">
        <f t="shared" ca="1" si="75"/>
        <v>200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IFERROR(__xludf.DUMMYFUNCTION("IMPORTRANGE(""https://docs.google.com/spreadsheets/d/1QqKyyYR6Q21VydFLVH3TRQUabQu_ym0Zz7PgGX0-kHA/edit?usp=sharing"",""แผน!V78"")"),20)</f>
        <v>20</v>
      </c>
      <c r="J145" s="215">
        <v>20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IFERROR(__xludf.DUMMYFUNCTION("IMPORTRANGE(""https://docs.google.com/spreadsheets/d/1QqKyyYR6Q21VydFLVH3TRQUabQu_ym0Zz7PgGX0-kHA/edit?usp=sharing"",""แผน!W78"")"),2)</f>
        <v>2</v>
      </c>
      <c r="J146" s="215">
        <v>2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IFERROR(__xludf.DUMMYFUNCTION("IMPORTRANGE(""https://docs.google.com/spreadsheets/d/1MeEWN-I1oV_STSDYn1IFDPWt_1FKiwhDph83XaGc0o0/edit?usp=sharing"",""งบพรบ!BU78"")"),0)</f>
        <v>0</v>
      </c>
      <c r="M154" s="93">
        <f ca="1">IFERROR(__xludf.DUMMYFUNCTION("IMPORTRANGE(""https://docs.google.com/spreadsheets/d/1MeEWN-I1oV_STSDYn1IFDPWt_1FKiwhDph83XaGc0o0/edit?usp=sharing"",""งบพรบ!BZ78"")"),0)</f>
        <v>0</v>
      </c>
      <c r="N154" s="93">
        <f ca="1">IFERROR(__xludf.DUMMYFUNCTION("IMPORTRANGE(""https://docs.google.com/spreadsheets/d/1MeEWN-I1oV_STSDYn1IFDPWt_1FKiwhDph83XaGc0o0/edit?usp=sharing"",""งบพรบ!CB78"")"),0)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IFERROR(__xludf.DUMMYFUNCTION("IMPORTRANGE(""https://docs.google.com/spreadsheets/d/1MeEWN-I1oV_STSDYn1IFDPWt_1FKiwhDph83XaGc0o0/edit?usp=sharing"",""งบพรบ!BX78"")"),0)</f>
        <v>0</v>
      </c>
      <c r="M157" s="93">
        <f ca="1">IFERROR(__xludf.DUMMYFUNCTION("IMPORTRANGE(""https://docs.google.com/spreadsheets/d/1MeEWN-I1oV_STSDYn1IFDPWt_1FKiwhDph83XaGc0o0/edit?usp=sharing"",""งบพรบ!CA78"")"),0)</f>
        <v>0</v>
      </c>
      <c r="N157" s="93">
        <f ca="1">IFERROR(__xludf.DUMMYFUNCTION("IMPORTRANGE(""https://docs.google.com/spreadsheets/d/1MeEWN-I1oV_STSDYn1IFDPWt_1FKiwhDph83XaGc0o0/edit?usp=sharing"",""งบพรบ!CC78"")"),0)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IFERROR(__xludf.DUMMYFUNCTION("IMPORTRANGE(""https://docs.google.com/spreadsheets/d/1QqKyyYR6Q21VydFLVH3TRQUabQu_ym0Zz7PgGX0-kHA/edit?usp=sharing"",""แผน!X78"")"),0)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40995</v>
      </c>
      <c r="N165" s="155">
        <f t="shared" ca="1" si="84"/>
        <v>40995</v>
      </c>
      <c r="O165" s="155">
        <f t="shared" ref="O165:O173" ca="1" si="85">IF(L165&gt;0,N165*100/L165,0)</f>
        <v>170.35113234988572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40995</v>
      </c>
      <c r="N167" s="93">
        <f t="shared" ca="1" si="87"/>
        <v>40995</v>
      </c>
      <c r="O167" s="93">
        <f t="shared" ca="1" si="85"/>
        <v>170.35113234988572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40995</v>
      </c>
      <c r="N168" s="498">
        <f t="shared" ca="1" si="88"/>
        <v>40995</v>
      </c>
      <c r="O168" s="498">
        <f t="shared" ca="1" si="85"/>
        <v>170.35113234988572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IFERROR(__xludf.DUMMYFUNCTION("IMPORTRANGE(""https://docs.google.com/spreadsheets/d/1MeEWN-I1oV_STSDYn1IFDPWt_1FKiwhDph83XaGc0o0/edit?usp=sharing"",""งบพรบ!CE78"")"),24065)</f>
        <v>24065</v>
      </c>
      <c r="M170" s="93">
        <f ca="1">IFERROR(__xludf.DUMMYFUNCTION("IMPORTRANGE(""https://docs.google.com/spreadsheets/d/1MeEWN-I1oV_STSDYn1IFDPWt_1FKiwhDph83XaGc0o0/edit?usp=sharing"",""งบพรบ!CJ78"")"),40995)</f>
        <v>40995</v>
      </c>
      <c r="N170" s="93">
        <f ca="1">IFERROR(__xludf.DUMMYFUNCTION("IMPORTRANGE(""https://docs.google.com/spreadsheets/d/1MeEWN-I1oV_STSDYn1IFDPWt_1FKiwhDph83XaGc0o0/edit?usp=sharing"",""งบพรบ!CL78"")"),40995)</f>
        <v>40995</v>
      </c>
      <c r="O170" s="93">
        <f t="shared" ca="1" si="85"/>
        <v>170.35113234988572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IFERROR(__xludf.DUMMYFUNCTION("IMPORTRANGE(""https://docs.google.com/spreadsheets/d/1MeEWN-I1oV_STSDYn1IFDPWt_1FKiwhDph83XaGc0o0/edit?usp=sharing"",""งบพรบ!CH78"")"),0)</f>
        <v>0</v>
      </c>
      <c r="M173" s="93">
        <f ca="1">IFERROR(__xludf.DUMMYFUNCTION("IMPORTRANGE(""https://docs.google.com/spreadsheets/d/1MeEWN-I1oV_STSDYn1IFDPWt_1FKiwhDph83XaGc0o0/edit?usp=sharing"",""งบพรบ!CK78"")"),0)</f>
        <v>0</v>
      </c>
      <c r="N173" s="93">
        <f ca="1">IFERROR(__xludf.DUMMYFUNCTION("IMPORTRANGE(""https://docs.google.com/spreadsheets/d/1MeEWN-I1oV_STSDYn1IFDPWt_1FKiwhDph83XaGc0o0/edit?usp=sharing"",""งบพรบ!CM78"")"),0)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IFERROR(__xludf.DUMMYFUNCTION("IMPORTRANGE(""https://docs.google.com/spreadsheets/d/1QqKyyYR6Q21VydFLVH3TRQUabQu_ym0Zz7PgGX0-kHA/edit?usp=sharing"",""แผน!Y78"")"),13)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100</v>
      </c>
      <c r="J180" s="253">
        <f t="shared" si="91"/>
        <v>110</v>
      </c>
      <c r="K180" s="254">
        <f ca="1">IF(I180&gt;0,J180*100/I180,0)</f>
        <v>110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673400</v>
      </c>
      <c r="M181" s="155">
        <f t="shared" ca="1" si="92"/>
        <v>691840</v>
      </c>
      <c r="N181" s="155">
        <f t="shared" ca="1" si="92"/>
        <v>517195.3</v>
      </c>
      <c r="O181" s="155">
        <f t="shared" ref="O181:O189" ca="1" si="93">IF(L181&gt;0,N181*100/L181,0)</f>
        <v>76.803578853578856</v>
      </c>
      <c r="P181" s="155">
        <f t="shared" ref="P181:P189" ca="1" si="94">IF(M181&gt;0,N181*100/M181,0)</f>
        <v>74.756489939870491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673400</v>
      </c>
      <c r="M183" s="93">
        <f t="shared" ca="1" si="95"/>
        <v>691840</v>
      </c>
      <c r="N183" s="93">
        <f t="shared" ca="1" si="95"/>
        <v>517195.3</v>
      </c>
      <c r="O183" s="93">
        <f t="shared" ca="1" si="93"/>
        <v>76.803578853578856</v>
      </c>
      <c r="P183" s="93">
        <f t="shared" ca="1" si="94"/>
        <v>74.756489939870491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673400</v>
      </c>
      <c r="M184" s="498">
        <f t="shared" ca="1" si="96"/>
        <v>691840</v>
      </c>
      <c r="N184" s="498">
        <f t="shared" ca="1" si="96"/>
        <v>517195.3</v>
      </c>
      <c r="O184" s="498">
        <f t="shared" ca="1" si="93"/>
        <v>76.803578853578856</v>
      </c>
      <c r="P184" s="498">
        <f t="shared" ca="1" si="94"/>
        <v>74.756489939870491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IFERROR(__xludf.DUMMYFUNCTION("IMPORTRANGE(""https://docs.google.com/spreadsheets/d/1MeEWN-I1oV_STSDYn1IFDPWt_1FKiwhDph83XaGc0o0/edit?usp=sharing"",""งบพรบ!CO78"")"),673400)</f>
        <v>673400</v>
      </c>
      <c r="M186" s="93">
        <f ca="1">IFERROR(__xludf.DUMMYFUNCTION("IMPORTRANGE(""https://docs.google.com/spreadsheets/d/1MeEWN-I1oV_STSDYn1IFDPWt_1FKiwhDph83XaGc0o0/edit?usp=sharing"",""งบพรบ!CT78"")"),691840)</f>
        <v>691840</v>
      </c>
      <c r="N186" s="93">
        <f ca="1">IFERROR(__xludf.DUMMYFUNCTION("IMPORTRANGE(""https://docs.google.com/spreadsheets/d/1MeEWN-I1oV_STSDYn1IFDPWt_1FKiwhDph83XaGc0o0/edit?usp=sharing"",""งบพรบ!CV78"")"),517195.3)</f>
        <v>517195.3</v>
      </c>
      <c r="O186" s="93">
        <f t="shared" ca="1" si="93"/>
        <v>76.803578853578856</v>
      </c>
      <c r="P186" s="93">
        <f t="shared" ca="1" si="94"/>
        <v>74.756489939870491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IFERROR(__xludf.DUMMYFUNCTION("IMPORTRANGE(""https://docs.google.com/spreadsheets/d/1MeEWN-I1oV_STSDYn1IFDPWt_1FKiwhDph83XaGc0o0/edit?usp=sharing"",""งบพรบ!CR78"")"),0)</f>
        <v>0</v>
      </c>
      <c r="M189" s="93">
        <f ca="1">IFERROR(__xludf.DUMMYFUNCTION("IMPORTRANGE(""https://docs.google.com/spreadsheets/d/1MeEWN-I1oV_STSDYn1IFDPWt_1FKiwhDph83XaGc0o0/edit?usp=sharing"",""งบพรบ!CU78"")"),0)</f>
        <v>0</v>
      </c>
      <c r="N189" s="93">
        <f ca="1">IFERROR(__xludf.DUMMYFUNCTION("IMPORTRANGE(""https://docs.google.com/spreadsheets/d/1MeEWN-I1oV_STSDYn1IFDPWt_1FKiwhDph83XaGc0o0/edit?usp=sharing"",""งบพรบ!CW78"")"),0)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IFERROR(__xludf.DUMMYFUNCTION("IMPORTRANGE(""https://docs.google.com/spreadsheets/d/1QqKyyYR6Q21VydFLVH3TRQUabQu_ym0Zz7PgGX0-kHA/edit?usp=sharing"",""แผน!Z78"")"),6000)</f>
        <v>6000</v>
      </c>
      <c r="M191" s="155"/>
      <c r="N191" s="276">
        <f>860+1060+2030</f>
        <v>3950</v>
      </c>
      <c r="O191" s="155">
        <f ca="1">IF(L191&gt;0,N191*100/L191,0)</f>
        <v>65.833333333333329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IFERROR(__xludf.DUMMYFUNCTION("IMPORTRANGE(""https://docs.google.com/spreadsheets/d/1QqKyyYR6Q21VydFLVH3TRQUabQu_ym0Zz7PgGX0-kHA/edit?usp=sharing"",""แผน!AC78"")"),4)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162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f>54+55+53</f>
        <v>162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44000</v>
      </c>
      <c r="M198" s="155"/>
      <c r="N198" s="155">
        <f>N199+N200+N201+N202</f>
        <v>31594</v>
      </c>
      <c r="O198" s="155">
        <f ca="1">IF(L198&gt;0,N198*100/L198,0)</f>
        <v>71.804545454545448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IFERROR(__xludf.DUMMYFUNCTION("IMPORTRANGE(""https://docs.google.com/spreadsheets/d/1QqKyyYR6Q21VydFLVH3TRQUabQu_ym0Zz7PgGX0-kHA/edit?usp=sharing"",""แผน!AE78"")"),3000)</f>
        <v>3000</v>
      </c>
      <c r="M199" s="498"/>
      <c r="N199" s="826">
        <v>1100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IFERROR(__xludf.DUMMYFUNCTION("IMPORTRANGE(""https://docs.google.com/spreadsheets/d/1QqKyyYR6Q21VydFLVH3TRQUabQu_ym0Zz7PgGX0-kHA/edit?usp=sharing"",""แผน!AF78"")"),24000)</f>
        <v>24000</v>
      </c>
      <c r="M200" s="498"/>
      <c r="N200" s="826">
        <v>24000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IFERROR(__xludf.DUMMYFUNCTION("IMPORTRANGE(""https://docs.google.com/spreadsheets/d/1QqKyyYR6Q21VydFLVH3TRQUabQu_ym0Zz7PgGX0-kHA/edit?usp=sharing"",""แผน!AG78"")"),12000)</f>
        <v>12000</v>
      </c>
      <c r="M201" s="498"/>
      <c r="N201" s="826">
        <v>6494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IFERROR(__xludf.DUMMYFUNCTION("IMPORTRANGE(""https://docs.google.com/spreadsheets/d/1QqKyyYR6Q21VydFLVH3TRQUabQu_ym0Zz7PgGX0-kHA/edit?usp=sharing"",""แผน!AH78"")"),5000)</f>
        <v>5000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IFERROR(__xludf.DUMMYFUNCTION("IMPORTRANGE(""https://docs.google.com/spreadsheets/d/1QqKyyYR6Q21VydFLVH3TRQUabQu_ym0Zz7PgGX0-kHA/edit?usp=sharing"",""แผน!AI78"")"),3)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28000</v>
      </c>
      <c r="M209" s="155"/>
      <c r="N209" s="155">
        <f>N210+N211+N212</f>
        <v>16305</v>
      </c>
      <c r="O209" s="155">
        <f ca="1">IF(L209&gt;0,N209*100/L209,0)</f>
        <v>58.232142857142854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IFERROR(__xludf.DUMMYFUNCTION("IMPORTRANGE(""https://docs.google.com/spreadsheets/d/1QqKyyYR6Q21VydFLVH3TRQUabQu_ym0Zz7PgGX0-kHA/edit?usp=sharing"",""แผน!AK78"")"),2000)</f>
        <v>2000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IFERROR(__xludf.DUMMYFUNCTION("IMPORTRANGE(""https://docs.google.com/spreadsheets/d/1QqKyyYR6Q21VydFLVH3TRQUabQu_ym0Zz7PgGX0-kHA/edit?usp=sharing"",""แผน!AL78"")"),10000)</f>
        <v>10000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IFERROR(__xludf.DUMMYFUNCTION("IMPORTRANGE(""https://docs.google.com/spreadsheets/d/1QqKyyYR6Q21VydFLVH3TRQUabQu_ym0Zz7PgGX0-kHA/edit?usp=sharing"",""แผน!AM78"")"),16000)</f>
        <v>16000</v>
      </c>
      <c r="M212" s="498"/>
      <c r="N212" s="826">
        <v>16305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IFERROR(__xludf.DUMMYFUNCTION("IMPORTRANGE(""https://docs.google.com/spreadsheets/d/1QqKyyYR6Q21VydFLVH3TRQUabQu_ym0Zz7PgGX0-kHA/edit?usp=sharing"",""แผน!AN78"")"),2)</f>
        <v>2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IFERROR(__xludf.DUMMYFUNCTION("IMPORTRANGE(""https://docs.google.com/spreadsheets/d/1QqKyyYR6Q21VydFLVH3TRQUabQu_ym0Zz7PgGX0-kHA/edit?usp=sharing"",""แผน!AN78"")"),2)</f>
        <v>2</v>
      </c>
      <c r="J215" s="215">
        <v>2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IFERROR(__xludf.DUMMYFUNCTION("IMPORTRANGE(""https://docs.google.com/spreadsheets/d/1QqKyyYR6Q21VydFLVH3TRQUabQu_ym0Zz7PgGX0-kHA/edit?usp=sharing"",""แผน!AP78"")"),5000)</f>
        <v>5000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IFERROR(__xludf.DUMMYFUNCTION("IMPORTRANGE(""https://docs.google.com/spreadsheets/d/1QqKyyYR6Q21VydFLVH3TRQUabQu_ym0Zz7PgGX0-kHA/edit?usp=sharing"",""แผน!AQ78"")"),13500)</f>
        <v>13500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IFERROR(__xludf.DUMMYFUNCTION("IMPORTRANGE(""https://docs.google.com/spreadsheets/d/1QqKyyYR6Q21VydFLVH3TRQUabQu_ym0Zz7PgGX0-kHA/edit?usp=sharing"",""แผน!AR78"")"),0)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IFERROR(__xludf.DUMMYFUNCTION("IMPORTRANGE(""https://docs.google.com/spreadsheets/d/1QqKyyYR6Q21VydFLVH3TRQUabQu_ym0Zz7PgGX0-kHA/edit?usp=sharing"",""แผน!AT78"")"),50000)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IFERROR(__xludf.DUMMYFUNCTION("IMPORTRANGE(""https://docs.google.com/spreadsheets/d/1QqKyyYR6Q21VydFLVH3TRQUabQu_ym0Zz7PgGX0-kHA/edit?usp=sharing"",""แผน!AT78"")"),50000)</f>
        <v>50000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IFERROR(__xludf.DUMMYFUNCTION("IMPORTRANGE(""https://docs.google.com/spreadsheets/d/1QqKyyYR6Q21VydFLVH3TRQUabQu_ym0Zz7PgGX0-kHA/edit?usp=sharing"",""แผน!AS78"")"),0)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100</v>
      </c>
      <c r="J226" s="345">
        <f t="shared" si="105"/>
        <v>110</v>
      </c>
      <c r="K226" s="346">
        <f t="shared" ca="1" si="104"/>
        <v>110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293300</v>
      </c>
      <c r="M227" s="356"/>
      <c r="N227" s="356">
        <f t="shared" ref="N227:N231" si="107">N238+N249</f>
        <v>214602.33000000002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165000</v>
      </c>
      <c r="M228" s="93"/>
      <c r="N228" s="93">
        <f t="shared" si="107"/>
        <v>119083.33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88300</v>
      </c>
      <c r="M229" s="93"/>
      <c r="N229" s="93">
        <f t="shared" si="107"/>
        <v>85539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40000</v>
      </c>
      <c r="M231" s="93"/>
      <c r="N231" s="93">
        <f t="shared" si="107"/>
        <v>9980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100</v>
      </c>
      <c r="J233" s="616">
        <f t="shared" si="108"/>
        <v>110</v>
      </c>
      <c r="K233" s="93">
        <f ca="1">IF(I233&gt;0,J233*100/I233,0)</f>
        <v>110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4</v>
      </c>
      <c r="J236" s="616">
        <f t="shared" si="109"/>
        <v>1</v>
      </c>
      <c r="K236" s="93">
        <f t="shared" si="110"/>
        <v>25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339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100</v>
      </c>
      <c r="J237" s="272">
        <f t="shared" si="111"/>
        <v>110</v>
      </c>
      <c r="K237" s="273">
        <f t="shared" ca="1" si="110"/>
        <v>110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293300</v>
      </c>
      <c r="M238" s="155"/>
      <c r="N238" s="155">
        <f>N239+N240+N241+N242</f>
        <v>214602.33000000002</v>
      </c>
      <c r="O238" s="155">
        <f ca="1">IF(L238&gt;0,N238*100/L238,0)</f>
        <v>73.168199795431292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IFERROR(__xludf.DUMMYFUNCTION("IMPORTRANGE(""https://docs.google.com/spreadsheets/d/1QqKyyYR6Q21VydFLVH3TRQUabQu_ym0Zz7PgGX0-kHA/edit?usp=sharing"",""แผน!AV78"")"),165000)</f>
        <v>165000</v>
      </c>
      <c r="M239" s="322"/>
      <c r="N239" s="869">
        <f>92773.33+9573+1240+4497+11000</f>
        <v>119083.33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IFERROR(__xludf.DUMMYFUNCTION("IMPORTRANGE(""https://docs.google.com/spreadsheets/d/1QqKyyYR6Q21VydFLVH3TRQUabQu_ym0Zz7PgGX0-kHA/edit?usp=sharing"",""แผน!AW78"")"),88300)</f>
        <v>88300</v>
      </c>
      <c r="M240" s="322"/>
      <c r="N240" s="869">
        <v>85539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IFERROR(__xludf.DUMMYFUNCTION("IMPORTRANGE(""https://docs.google.com/spreadsheets/d/1QqKyyYR6Q21VydFLVH3TRQUabQu_ym0Zz7PgGX0-kHA/edit?usp=sharing"",""แผน!AX78"")"),0)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IFERROR(__xludf.DUMMYFUNCTION("IMPORTRANGE(""https://docs.google.com/spreadsheets/d/1QqKyyYR6Q21VydFLVH3TRQUabQu_ym0Zz7PgGX0-kHA/edit?usp=sharing"",""แผน!AY78"")"),40000)</f>
        <v>40000</v>
      </c>
      <c r="M242" s="322"/>
      <c r="N242" s="869">
        <v>9980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IFERROR(__xludf.DUMMYFUNCTION("IMPORTRANGE(""https://docs.google.com/spreadsheets/d/1QqKyyYR6Q21VydFLVH3TRQUabQu_ym0Zz7PgGX0-kHA/edit?usp=sharing"",""แผน!BE78"")"),100)</f>
        <v>100</v>
      </c>
      <c r="J244" s="215">
        <v>110</v>
      </c>
      <c r="K244" s="498">
        <f ca="1">IF(I244&gt;0,J244*100/I244,0)</f>
        <v>110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>
        <v>0</v>
      </c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>
        <v>4</v>
      </c>
      <c r="J247" s="215">
        <v>1</v>
      </c>
      <c r="K247" s="498">
        <f t="shared" si="112"/>
        <v>25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IFERROR(__xludf.DUMMYFUNCTION("IMPORTRANGE(""https://docs.google.com/spreadsheets/d/1QqKyyYR6Q21VydFLVH3TRQUabQu_ym0Zz7PgGX0-kHA/edit?usp=sharing"",""แผน!AZ78"")"),0)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IFERROR(__xludf.DUMMYFUNCTION("IMPORTRANGE(""https://docs.google.com/spreadsheets/d/1QqKyyYR6Q21VydFLVH3TRQUabQu_ym0Zz7PgGX0-kHA/edit?usp=sharing"",""แผน!BA78"")"),0)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IFERROR(__xludf.DUMMYFUNCTION("IMPORTRANGE(""https://docs.google.com/spreadsheets/d/1QqKyyYR6Q21VydFLVH3TRQUabQu_ym0Zz7PgGX0-kHA/edit?usp=sharing"",""แผน!BB78"")"),0)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IFERROR(__xludf.DUMMYFUNCTION("IMPORTRANGE(""https://docs.google.com/spreadsheets/d/1QqKyyYR6Q21VydFLVH3TRQUabQu_ym0Zz7PgGX0-kHA/edit?usp=sharing"",""แผน!BC78"")"),0)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IFERROR(__xludf.DUMMYFUNCTION("IMPORTRANGE(""https://docs.google.com/spreadsheets/d/1QqKyyYR6Q21VydFLVH3TRQUabQu_ym0Zz7PgGX0-kHA/edit?usp=sharing"",""แผน!BF78"")"),0)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173700</v>
      </c>
      <c r="M261" s="155">
        <f t="shared" ca="1" si="116"/>
        <v>173700</v>
      </c>
      <c r="N261" s="155">
        <f t="shared" ca="1" si="116"/>
        <v>92900.63</v>
      </c>
      <c r="O261" s="155">
        <f t="shared" ref="O261:O269" ca="1" si="117">IF(L261&gt;0,N261*100/L261,0)</f>
        <v>53.48337938975245</v>
      </c>
      <c r="P261" s="155">
        <f t="shared" ref="P261:P269" ca="1" si="118">IF(M261&gt;0,N261*100/M261,0)</f>
        <v>53.48337938975245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173700</v>
      </c>
      <c r="M263" s="93">
        <f t="shared" ca="1" si="119"/>
        <v>173700</v>
      </c>
      <c r="N263" s="93">
        <f t="shared" ca="1" si="119"/>
        <v>92900.63</v>
      </c>
      <c r="O263" s="93">
        <f t="shared" ca="1" si="117"/>
        <v>53.48337938975245</v>
      </c>
      <c r="P263" s="93">
        <f t="shared" ca="1" si="118"/>
        <v>53.48337938975245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173700</v>
      </c>
      <c r="M264" s="498">
        <f t="shared" ca="1" si="120"/>
        <v>173700</v>
      </c>
      <c r="N264" s="498">
        <f t="shared" ca="1" si="120"/>
        <v>92900.63</v>
      </c>
      <c r="O264" s="498">
        <f t="shared" ca="1" si="117"/>
        <v>53.48337938975245</v>
      </c>
      <c r="P264" s="498">
        <f t="shared" ca="1" si="118"/>
        <v>53.48337938975245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IFERROR(__xludf.DUMMYFUNCTION("IMPORTRANGE(""https://docs.google.com/spreadsheets/d/1MeEWN-I1oV_STSDYn1IFDPWt_1FKiwhDph83XaGc0o0/edit?usp=sharing"",""งบพรบ!CY78"")"),173700)</f>
        <v>173700</v>
      </c>
      <c r="M266" s="93">
        <f ca="1">IFERROR(__xludf.DUMMYFUNCTION("IMPORTRANGE(""https://docs.google.com/spreadsheets/d/1MeEWN-I1oV_STSDYn1IFDPWt_1FKiwhDph83XaGc0o0/edit?usp=sharing"",""งบพรบ!DD78"")"),173700)</f>
        <v>173700</v>
      </c>
      <c r="N266" s="93">
        <f ca="1">IFERROR(__xludf.DUMMYFUNCTION("IMPORTRANGE(""https://docs.google.com/spreadsheets/d/1MeEWN-I1oV_STSDYn1IFDPWt_1FKiwhDph83XaGc0o0/edit?usp=sharing"",""งบพรบ!DF78"")"),92900.63)</f>
        <v>92900.63</v>
      </c>
      <c r="O266" s="93">
        <f t="shared" ca="1" si="117"/>
        <v>53.48337938975245</v>
      </c>
      <c r="P266" s="93">
        <f t="shared" ca="1" si="118"/>
        <v>53.48337938975245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IFERROR(__xludf.DUMMYFUNCTION("IMPORTRANGE(""https://docs.google.com/spreadsheets/d/1MeEWN-I1oV_STSDYn1IFDPWt_1FKiwhDph83XaGc0o0/edit?usp=sharing"",""งบพรบ!DB78"")"),0)</f>
        <v>0</v>
      </c>
      <c r="M269" s="93">
        <f ca="1">IFERROR(__xludf.DUMMYFUNCTION("IMPORTRANGE(""https://docs.google.com/spreadsheets/d/1MeEWN-I1oV_STSDYn1IFDPWt_1FKiwhDph83XaGc0o0/edit?usp=sharing"",""งบพรบ!DE78"")"),0)</f>
        <v>0</v>
      </c>
      <c r="N269" s="93">
        <f ca="1">IFERROR(__xludf.DUMMYFUNCTION("IMPORTRANGE(""https://docs.google.com/spreadsheets/d/1MeEWN-I1oV_STSDYn1IFDPWt_1FKiwhDph83XaGc0o0/edit?usp=sharing"",""งบพรบ!DG78"")"),0)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IFERROR(__xludf.DUMMYFUNCTION("IMPORTRANGE(""https://docs.google.com/spreadsheets/d/1QqKyyYR6Q21VydFLVH3TRQUabQu_ym0Zz7PgGX0-kHA/edit?usp=sharing"",""แผน!EA78"")"),26)</f>
        <v>26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IFERROR(__xludf.DUMMYFUNCTION("IMPORTRANGE(""https://docs.google.com/spreadsheets/d/1MeEWN-I1oV_STSDYn1IFDPWt_1FKiwhDph83XaGc0o0/edit?usp=sharing"",""งบพรบ!DI78"")"),0)</f>
        <v>0</v>
      </c>
      <c r="M282" s="93">
        <f ca="1">IFERROR(__xludf.DUMMYFUNCTION("IMPORTRANGE(""https://docs.google.com/spreadsheets/d/1MeEWN-I1oV_STSDYn1IFDPWt_1FKiwhDph83XaGc0o0/edit?usp=sharing"",""งบพรบ!DN78"")"),0)</f>
        <v>0</v>
      </c>
      <c r="N282" s="93">
        <f ca="1">IFERROR(__xludf.DUMMYFUNCTION("IMPORTRANGE(""https://docs.google.com/spreadsheets/d/1MeEWN-I1oV_STSDYn1IFDPWt_1FKiwhDph83XaGc0o0/edit?usp=sharing"",""งบพรบ!DP78"")"),0)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IFERROR(__xludf.DUMMYFUNCTION("IMPORTRANGE(""https://docs.google.com/spreadsheets/d/1MeEWN-I1oV_STSDYn1IFDPWt_1FKiwhDph83XaGc0o0/edit?usp=sharing"",""งบพรบ!DL78"")"),0)</f>
        <v>0</v>
      </c>
      <c r="M285" s="93">
        <f ca="1">IFERROR(__xludf.DUMMYFUNCTION("IMPORTRANGE(""https://docs.google.com/spreadsheets/d/1MeEWN-I1oV_STSDYn1IFDPWt_1FKiwhDph83XaGc0o0/edit?usp=sharing"",""งบพรบ!DO78"")"),0)</f>
        <v>0</v>
      </c>
      <c r="N285" s="93">
        <f ca="1">IFERROR(__xludf.DUMMYFUNCTION("IMPORTRANGE(""https://docs.google.com/spreadsheets/d/1MeEWN-I1oV_STSDYn1IFDPWt_1FKiwhDph83XaGc0o0/edit?usp=sharing"",""งบพรบ!DQ78"")"),0)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IFERROR(__xludf.DUMMYFUNCTION("IMPORTRANGE(""https://docs.google.com/spreadsheets/d/1QqKyyYR6Q21VydFLVH3TRQUabQu_ym0Zz7PgGX0-kHA/edit?usp=sharing"",""แผน!EC78"")"),0)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IFERROR(__xludf.DUMMYFUNCTION("IMPORTRANGE(""https://docs.google.com/spreadsheets/d/1QqKyyYR6Q21VydFLVH3TRQUabQu_ym0Zz7PgGX0-kHA/edit?usp=sharing"",""แผน!EB78"")"),0)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IFERROR(__xludf.DUMMYFUNCTION("IMPORTRANGE(""https://docs.google.com/spreadsheets/d/1QqKyyYR6Q21VydFLVH3TRQUabQu_ym0Zz7PgGX0-kHA/edit?usp=sharing"",""แผน!EB78"")"),0)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IFERROR(__xludf.DUMMYFUNCTION("IMPORTRANGE(""https://docs.google.com/spreadsheets/d/1QqKyyYR6Q21VydFLVH3TRQUabQu_ym0Zz7PgGX0-kHA/edit?usp=sharing"",""แผน!EB78"")"),0)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IFERROR(__xludf.DUMMYFUNCTION("IMPORTRANGE(""https://docs.google.com/spreadsheets/d/1QqKyyYR6Q21VydFLVH3TRQUabQu_ym0Zz7PgGX0-kHA/edit?usp=sharing"",""แผน!EB78"")"),0)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IFERROR(__xludf.DUMMYFUNCTION("IMPORTRANGE(""https://docs.google.com/spreadsheets/d/1QqKyyYR6Q21VydFLVH3TRQUabQu_ym0Zz7PgGX0-kHA/edit?usp=sharing"",""แผน!EB78"")"),0)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57702</v>
      </c>
      <c r="O298" s="155">
        <f t="shared" ref="O298:O306" ca="1" si="136">IF(L298&gt;0,N298*100/L298,0)</f>
        <v>70.02669902912622</v>
      </c>
      <c r="P298" s="155">
        <f t="shared" ref="P298:P306" ca="1" si="137">IF(M298&gt;0,N298*100/M298,0)</f>
        <v>70.02669902912622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57702</v>
      </c>
      <c r="O300" s="93">
        <f t="shared" ca="1" si="136"/>
        <v>70.02669902912622</v>
      </c>
      <c r="P300" s="93">
        <f t="shared" ca="1" si="137"/>
        <v>70.02669902912622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57702</v>
      </c>
      <c r="O301" s="498">
        <f t="shared" ca="1" si="136"/>
        <v>70.02669902912622</v>
      </c>
      <c r="P301" s="498">
        <f t="shared" ca="1" si="137"/>
        <v>70.02669902912622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IFERROR(__xludf.DUMMYFUNCTION("IMPORTRANGE(""https://docs.google.com/spreadsheets/d/1MeEWN-I1oV_STSDYn1IFDPWt_1FKiwhDph83XaGc0o0/edit?usp=sharing"",""งบพรบ!DS78"")"),82400)</f>
        <v>82400</v>
      </c>
      <c r="M303" s="93">
        <f ca="1">IFERROR(__xludf.DUMMYFUNCTION("IMPORTRANGE(""https://docs.google.com/spreadsheets/d/1MeEWN-I1oV_STSDYn1IFDPWt_1FKiwhDph83XaGc0o0/edit?usp=sharing"",""งบพรบ!DX78"")"),82400)</f>
        <v>82400</v>
      </c>
      <c r="N303" s="93">
        <f ca="1">IFERROR(__xludf.DUMMYFUNCTION("IMPORTRANGE(""https://docs.google.com/spreadsheets/d/1MeEWN-I1oV_STSDYn1IFDPWt_1FKiwhDph83XaGc0o0/edit?usp=sharing"",""งบพรบ!DZ78"")"),57702)</f>
        <v>57702</v>
      </c>
      <c r="O303" s="93">
        <f t="shared" ca="1" si="136"/>
        <v>70.02669902912622</v>
      </c>
      <c r="P303" s="93">
        <f t="shared" ca="1" si="137"/>
        <v>70.02669902912622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IFERROR(__xludf.DUMMYFUNCTION("IMPORTRANGE(""https://docs.google.com/spreadsheets/d/1MeEWN-I1oV_STSDYn1IFDPWt_1FKiwhDph83XaGc0o0/edit?usp=sharing"",""งบพรบ!DV78"")"),0)</f>
        <v>0</v>
      </c>
      <c r="M306" s="93">
        <f ca="1">IFERROR(__xludf.DUMMYFUNCTION("IMPORTRANGE(""https://docs.google.com/spreadsheets/d/1MeEWN-I1oV_STSDYn1IFDPWt_1FKiwhDph83XaGc0o0/edit?usp=sharing"",""งบพรบ!DY78"")"),0)</f>
        <v>0</v>
      </c>
      <c r="N306" s="93">
        <f ca="1">IFERROR(__xludf.DUMMYFUNCTION("IMPORTRANGE(""https://docs.google.com/spreadsheets/d/1MeEWN-I1oV_STSDYn1IFDPWt_1FKiwhDph83XaGc0o0/edit?usp=sharing"",""งบพรบ!EA78"")"),0)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IFERROR(__xludf.DUMMYFUNCTION("IMPORTRANGE(""https://docs.google.com/spreadsheets/d/1QqKyyYR6Q21VydFLVH3TRQUabQu_ym0Zz7PgGX0-kHA/edit?usp=sharing"",""แผน!ED78"")"),20)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IFERROR(__xludf.DUMMYFUNCTION("IMPORTRANGE(""https://docs.google.com/spreadsheets/d/1QqKyyYR6Q21VydFLVH3TRQUabQu_ym0Zz7PgGX0-kHA/edit?usp=sharing"",""แผน!ED78"")"),20)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IFERROR(__xludf.DUMMYFUNCTION("IMPORTRANGE(""https://docs.google.com/spreadsheets/d/1QqKyyYR6Q21VydFLVH3TRQUabQu_ym0Zz7PgGX0-kHA/edit?usp=sharing"",""แผน!ED78"")"),20)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IFERROR(__xludf.DUMMYFUNCTION("IMPORTRANGE(""https://docs.google.com/spreadsheets/d/1QqKyyYR6Q21VydFLVH3TRQUabQu_ym0Zz7PgGX0-kHA/edit?usp=sharing"",""แผน!EE78"")"),4)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IFERROR(__xludf.DUMMYFUNCTION("IMPORTRANGE(""https://docs.google.com/spreadsheets/d/1MeEWN-I1oV_STSDYn1IFDPWt_1FKiwhDph83XaGc0o0/edit?usp=sharing"",""งบพรบ!EC78"")"),0)</f>
        <v>0</v>
      </c>
      <c r="M320" s="93">
        <f ca="1">IFERROR(__xludf.DUMMYFUNCTION("IMPORTRANGE(""https://docs.google.com/spreadsheets/d/1MeEWN-I1oV_STSDYn1IFDPWt_1FKiwhDph83XaGc0o0/edit?usp=sharing"",""งบพรบ!EH78"")"),0)</f>
        <v>0</v>
      </c>
      <c r="N320" s="93">
        <f ca="1">IFERROR(__xludf.DUMMYFUNCTION("IMPORTRANGE(""https://docs.google.com/spreadsheets/d/1MeEWN-I1oV_STSDYn1IFDPWt_1FKiwhDph83XaGc0o0/edit?usp=sharing"",""งบพรบ!EJ78"")"),0)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IFERROR(__xludf.DUMMYFUNCTION("IMPORTRANGE(""https://docs.google.com/spreadsheets/d/1MeEWN-I1oV_STSDYn1IFDPWt_1FKiwhDph83XaGc0o0/edit?usp=sharing"",""งบพรบ!EF78"")"),0)</f>
        <v>0</v>
      </c>
      <c r="M323" s="93">
        <f ca="1">IFERROR(__xludf.DUMMYFUNCTION("IMPORTRANGE(""https://docs.google.com/spreadsheets/d/1MeEWN-I1oV_STSDYn1IFDPWt_1FKiwhDph83XaGc0o0/edit?usp=sharing"",""งบพรบ!EI78"")"),0)</f>
        <v>0</v>
      </c>
      <c r="N323" s="93">
        <f ca="1">IFERROR(__xludf.DUMMYFUNCTION("IMPORTRANGE(""https://docs.google.com/spreadsheets/d/1MeEWN-I1oV_STSDYn1IFDPWt_1FKiwhDph83XaGc0o0/edit?usp=sharing"",""งบพรบ!EK78"")"),0)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IFERROR(__xludf.DUMMYFUNCTION("IMPORTRANGE(""https://docs.google.com/spreadsheets/d/1QqKyyYR6Q21VydFLVH3TRQUabQu_ym0Zz7PgGX0-kHA/edit?usp=sharing"",""แผน!EF78"")"),0)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IFERROR(__xludf.DUMMYFUNCTION("IMPORTRANGE(""https://docs.google.com/spreadsheets/d/1QqKyyYR6Q21VydFLVH3TRQUabQu_ym0Zz7PgGX0-kHA/edit?usp=sharing"",""แผน!EG78"")"),1600)</f>
        <v>1600</v>
      </c>
      <c r="J327" s="445">
        <f ca="1">J338+J341+J342+J343</f>
        <v>3103</v>
      </c>
      <c r="K327" s="446">
        <f ca="1">IF(I327&gt;0,J327*100/I327,0)</f>
        <v>193.9375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174000</v>
      </c>
      <c r="M328" s="155">
        <f t="shared" ca="1" si="149"/>
        <v>176500</v>
      </c>
      <c r="N328" s="155">
        <f t="shared" ca="1" si="149"/>
        <v>137305.32</v>
      </c>
      <c r="O328" s="155">
        <f t="shared" ref="O328:O336" ca="1" si="150">IF(L328&gt;0,N328*100/L328,0)</f>
        <v>78.911103448275867</v>
      </c>
      <c r="P328" s="155">
        <f t="shared" ref="P328:P336" ca="1" si="151">IF(M328&gt;0,N328*100/M328,0)</f>
        <v>77.793382436260629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174000</v>
      </c>
      <c r="M330" s="93">
        <f t="shared" ca="1" si="152"/>
        <v>176500</v>
      </c>
      <c r="N330" s="93">
        <f t="shared" ca="1" si="152"/>
        <v>137305.32</v>
      </c>
      <c r="O330" s="93">
        <f t="shared" ca="1" si="150"/>
        <v>78.911103448275867</v>
      </c>
      <c r="P330" s="93">
        <f t="shared" ca="1" si="151"/>
        <v>77.793382436260629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174000</v>
      </c>
      <c r="M331" s="498">
        <f t="shared" ca="1" si="153"/>
        <v>176500</v>
      </c>
      <c r="N331" s="498">
        <f t="shared" ca="1" si="153"/>
        <v>137305.32</v>
      </c>
      <c r="O331" s="498">
        <f t="shared" ca="1" si="150"/>
        <v>78.911103448275867</v>
      </c>
      <c r="P331" s="498">
        <f t="shared" ca="1" si="151"/>
        <v>77.793382436260629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IFERROR(__xludf.DUMMYFUNCTION("IMPORTRANGE(""https://docs.google.com/spreadsheets/d/1MeEWN-I1oV_STSDYn1IFDPWt_1FKiwhDph83XaGc0o0/edit?usp=sharing"",""งบพรบ!EM78"")"),174000)</f>
        <v>174000</v>
      </c>
      <c r="M333" s="93">
        <f ca="1">IFERROR(__xludf.DUMMYFUNCTION("IMPORTRANGE(""https://docs.google.com/spreadsheets/d/1MeEWN-I1oV_STSDYn1IFDPWt_1FKiwhDph83XaGc0o0/edit?usp=sharing"",""งบพรบ!ER78"")"),176500)</f>
        <v>176500</v>
      </c>
      <c r="N333" s="93">
        <f ca="1">IFERROR(__xludf.DUMMYFUNCTION("IMPORTRANGE(""https://docs.google.com/spreadsheets/d/1MeEWN-I1oV_STSDYn1IFDPWt_1FKiwhDph83XaGc0o0/edit?usp=sharing"",""งบพรบ!ET78"")"),137305.32)</f>
        <v>137305.32</v>
      </c>
      <c r="O333" s="93">
        <f t="shared" ca="1" si="150"/>
        <v>78.911103448275867</v>
      </c>
      <c r="P333" s="93">
        <f t="shared" ca="1" si="151"/>
        <v>77.793382436260629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IFERROR(__xludf.DUMMYFUNCTION("IMPORTRANGE(""https://docs.google.com/spreadsheets/d/1MeEWN-I1oV_STSDYn1IFDPWt_1FKiwhDph83XaGc0o0/edit?usp=sharing"",""งบพรบ!EP78"")"),0)</f>
        <v>0</v>
      </c>
      <c r="M336" s="93">
        <f ca="1">IFERROR(__xludf.DUMMYFUNCTION("IMPORTRANGE(""https://docs.google.com/spreadsheets/d/1MeEWN-I1oV_STSDYn1IFDPWt_1FKiwhDph83XaGc0o0/edit?usp=sharing"",""งบพรบ!ES78"")"),0)</f>
        <v>0</v>
      </c>
      <c r="N336" s="93">
        <f ca="1">IFERROR(__xludf.DUMMYFUNCTION("IMPORTRANGE(""https://docs.google.com/spreadsheets/d/1MeEWN-I1oV_STSDYn1IFDPWt_1FKiwhDph83XaGc0o0/edit?usp=sharing"",""งบพรบ!EU78"")"),0)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IFERROR(__xludf.DUMMYFUNCTION("IMPORTRANGE(""https://docs.google.com/spreadsheets/d/1QqKyyYR6Q21VydFLVH3TRQUabQu_ym0Zz7PgGX0-kHA/edit?usp=sharing"",""แผน!EG78"")"),1600)</f>
        <v>1600</v>
      </c>
      <c r="J338" s="270">
        <f ca="1">IFERROR(__xludf.DUMMYFUNCTION("IMPORTRANGE(""https://docs.google.com/spreadsheets/d/1kVcqe37tkHyjCSG3S0O1AXqVkqjo8mSIZil3BcpIysc/edit?usp=sharing"",""ศูนย์!D78"")"),2856)</f>
        <v>2856</v>
      </c>
      <c r="K338" s="498">
        <f ca="1">IF(I338&gt;0,J338*100/I338,0)</f>
        <v>178.5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IFERROR(__xludf.DUMMYFUNCTION("IMPORTRANGE(""https://docs.google.com/spreadsheets/d/1QqKyyYR6Q21VydFLVH3TRQUabQu_ym0Zz7PgGX0-kHA/edit?usp=sharing"",""แผน!EH78"")"),8)</f>
        <v>8</v>
      </c>
      <c r="J340" s="270">
        <f ca="1">IFERROR(__xludf.DUMMYFUNCTION("IMPORTRANGE(""https://docs.google.com/spreadsheets/d/1kVcqe37tkHyjCSG3S0O1AXqVkqjo8mSIZil3BcpIysc/edit?usp=sharing"",""ศูนย์!E78"")"),8)</f>
        <v>8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IFERROR(__xludf.DUMMYFUNCTION("IMPORTRANGE(""https://docs.google.com/spreadsheets/d/1kVcqe37tkHyjCSG3S0O1AXqVkqjo8mSIZil3BcpIysc/edit?usp=sharing"",""ศูนย์!F78"")"),247)</f>
        <v>247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IFERROR(__xludf.DUMMYFUNCTION("IMPORTRANGE(""https://docs.google.com/spreadsheets/d/1kVcqe37tkHyjCSG3S0O1AXqVkqjo8mSIZil3BcpIysc/edit?usp=sharing"",""ศูนย์!G78"")"),0)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IFERROR(__xludf.DUMMYFUNCTION("IMPORTRANGE(""https://docs.google.com/spreadsheets/d/1kVcqe37tkHyjCSG3S0O1AXqVkqjo8mSIZil3BcpIysc/edit?usp=sharing"",""ศูนย์!H78"")"),0)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695090</v>
      </c>
      <c r="M345" s="155">
        <f t="shared" ca="1" si="155"/>
        <v>870290</v>
      </c>
      <c r="N345" s="155">
        <f t="shared" ca="1" si="155"/>
        <v>613108.55000000005</v>
      </c>
      <c r="O345" s="155">
        <f t="shared" ref="O345:O353" ca="1" si="156">IF(L345&gt;0,N345*100/L345,0)</f>
        <v>88.205635241479527</v>
      </c>
      <c r="P345" s="155">
        <f t="shared" ref="P345:P353" ca="1" si="157">IF(M345&gt;0,N345*100/M345,0)</f>
        <v>70.448764205035118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695090</v>
      </c>
      <c r="M347" s="93">
        <f t="shared" ca="1" si="158"/>
        <v>870290</v>
      </c>
      <c r="N347" s="93">
        <f t="shared" ca="1" si="158"/>
        <v>613108.55000000005</v>
      </c>
      <c r="O347" s="93">
        <f t="shared" ca="1" si="156"/>
        <v>88.205635241479527</v>
      </c>
      <c r="P347" s="93">
        <f t="shared" ca="1" si="157"/>
        <v>70.448764205035118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619090</v>
      </c>
      <c r="M348" s="498">
        <f t="shared" ca="1" si="159"/>
        <v>795290</v>
      </c>
      <c r="N348" s="498">
        <f t="shared" ca="1" si="159"/>
        <v>538108.55000000005</v>
      </c>
      <c r="O348" s="498">
        <f t="shared" ca="1" si="156"/>
        <v>86.919276680288817</v>
      </c>
      <c r="P348" s="498">
        <f t="shared" ca="1" si="157"/>
        <v>67.661928353179349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IFERROR(__xludf.DUMMYFUNCTION("IMPORTRANGE(""https://docs.google.com/spreadsheets/d/1MeEWN-I1oV_STSDYn1IFDPWt_1FKiwhDph83XaGc0o0/edit?usp=sharing"",""งบพรบ!EW78"")"),619090)</f>
        <v>619090</v>
      </c>
      <c r="M350" s="93">
        <f ca="1">IFERROR(__xludf.DUMMYFUNCTION("IMPORTRANGE(""https://docs.google.com/spreadsheets/d/1MeEWN-I1oV_STSDYn1IFDPWt_1FKiwhDph83XaGc0o0/edit?usp=sharing"",""งบพรบ!FB78"")"),795290)</f>
        <v>795290</v>
      </c>
      <c r="N350" s="93">
        <f ca="1">IFERROR(__xludf.DUMMYFUNCTION("IMPORTRANGE(""https://docs.google.com/spreadsheets/d/1MeEWN-I1oV_STSDYn1IFDPWt_1FKiwhDph83XaGc0o0/edit?usp=sharing"",""งบพรบ!FD78"")"),538108.55)</f>
        <v>538108.55000000005</v>
      </c>
      <c r="O350" s="93">
        <f t="shared" ca="1" si="156"/>
        <v>86.919276680288817</v>
      </c>
      <c r="P350" s="93">
        <f t="shared" ca="1" si="157"/>
        <v>67.661928353179349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75000</v>
      </c>
      <c r="N351" s="498">
        <f t="shared" ca="1" si="160"/>
        <v>75000</v>
      </c>
      <c r="O351" s="498">
        <f t="shared" ca="1" si="156"/>
        <v>98.684210526315795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IFERROR(__xludf.DUMMYFUNCTION("IMPORTRANGE(""https://docs.google.com/spreadsheets/d/1MeEWN-I1oV_STSDYn1IFDPWt_1FKiwhDph83XaGc0o0/edit?usp=sharing"",""งบพรบ!EZ78"")"),76000)</f>
        <v>76000</v>
      </c>
      <c r="M353" s="93">
        <f ca="1">IFERROR(__xludf.DUMMYFUNCTION("IMPORTRANGE(""https://docs.google.com/spreadsheets/d/1MeEWN-I1oV_STSDYn1IFDPWt_1FKiwhDph83XaGc0o0/edit?usp=sharing"",""งบพรบ!FC78"")"),75000)</f>
        <v>75000</v>
      </c>
      <c r="N353" s="93">
        <f ca="1">IFERROR(__xludf.DUMMYFUNCTION("IMPORTRANGE(""https://docs.google.com/spreadsheets/d/1MeEWN-I1oV_STSDYn1IFDPWt_1FKiwhDph83XaGc0o0/edit?usp=sharing"",""งบพรบ!FE78"")"),75000)</f>
        <v>75000</v>
      </c>
      <c r="O353" s="93">
        <f t="shared" ca="1" si="156"/>
        <v>98.684210526315795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IFERROR(__xludf.DUMMYFUNCTION("IMPORTRANGE(""https://docs.google.com/spreadsheets/d/1QqKyyYR6Q21VydFLVH3TRQUabQu_ym0Zz7PgGX0-kHA/edit?usp=sharing"",""แผน!EP78"")"),250)</f>
        <v>250</v>
      </c>
      <c r="J355" s="465">
        <f ca="1">J362</f>
        <v>146</v>
      </c>
      <c r="K355" s="466">
        <f ca="1">IF(I355&gt;0,J355*100/I355,0)</f>
        <v>58.4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IFERROR(__xludf.DUMMYFUNCTION("IMPORTRANGE(""https://docs.google.com/spreadsheets/d/1XWAQStnk-4SwqDmLtmXYiTMKHgktTP8We1SCoS47DrQ/edit?usp=sharing"",""จัดที่ดิน!W78"")"),305)</f>
        <v>305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IFERROR(__xludf.DUMMYFUNCTION("IMPORTRANGE(""https://docs.google.com/spreadsheets/d/1QqKyyYR6Q21VydFLVH3TRQUabQu_ym0Zz7PgGX0-kHA/edit?usp=sharing"",""แผน!EO78"")"),3020)</f>
        <v>3020</v>
      </c>
      <c r="J359" s="270">
        <f ca="1">IFERROR(__xludf.DUMMYFUNCTION("IMPORTRANGE(""https://docs.google.com/spreadsheets/d/1XWAQStnk-4SwqDmLtmXYiTMKHgktTP8We1SCoS47DrQ/edit?usp=sharing"",""จัดที่ดิน!X78"")"),1996.29)</f>
        <v>1996.29</v>
      </c>
      <c r="K359" s="498">
        <f t="shared" ca="1" si="161"/>
        <v>66.1023178807947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IFERROR(__xludf.DUMMYFUNCTION("IMPORTRANGE(""https://docs.google.com/spreadsheets/d/1QqKyyYR6Q21VydFLVH3TRQUabQu_ym0Zz7PgGX0-kHA/edit?usp=sharing"",""แผน!EP78"")"),250)</f>
        <v>250</v>
      </c>
      <c r="J360" s="270">
        <f ca="1">IFERROR(__xludf.DUMMYFUNCTION("IMPORTRANGE(""https://docs.google.com/spreadsheets/d/1XWAQStnk-4SwqDmLtmXYiTMKHgktTP8We1SCoS47DrQ/edit?usp=sharing"",""จัดที่ดิน!Y78"")"),295)</f>
        <v>295</v>
      </c>
      <c r="K360" s="498">
        <f t="shared" ca="1" si="161"/>
        <v>118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IFERROR(__xludf.DUMMYFUNCTION("IMPORTRANGE(""https://docs.google.com/spreadsheets/d/1XWAQStnk-4SwqDmLtmXYiTMKHgktTP8We1SCoS47DrQ/edit?usp=sharing"",""จัดที่ดิน!Z78"")"),2004.01)</f>
        <v>2004.01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IFERROR(__xludf.DUMMYFUNCTION("IMPORTRANGE(""https://docs.google.com/spreadsheets/d/1QqKyyYR6Q21VydFLVH3TRQUabQu_ym0Zz7PgGX0-kHA/edit?usp=sharing"",""แผน!EP78"")"),250)</f>
        <v>250</v>
      </c>
      <c r="J362" s="270">
        <f ca="1">IFERROR(__xludf.DUMMYFUNCTION("IMPORTRANGE(""https://docs.google.com/spreadsheets/d/1XWAQStnk-4SwqDmLtmXYiTMKHgktTP8We1SCoS47DrQ/edit?usp=sharing"",""จัดที่ดิน!AA78"")"),146)</f>
        <v>146</v>
      </c>
      <c r="K362" s="498">
        <f t="shared" ca="1" si="161"/>
        <v>58.4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IFERROR(__xludf.DUMMYFUNCTION("IMPORTRANGE(""https://docs.google.com/spreadsheets/d/1XWAQStnk-4SwqDmLtmXYiTMKHgktTP8We1SCoS47DrQ/edit?usp=sharing"",""จัดที่ดิน!AB78"")"),1077.02)</f>
        <v>1077.02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600</v>
      </c>
      <c r="J364" s="479">
        <f t="shared" ca="1" si="162"/>
        <v>432</v>
      </c>
      <c r="K364" s="480">
        <f t="shared" ca="1" si="161"/>
        <v>72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IFERROR(__xludf.DUMMYFUNCTION("IMPORTRANGE(""https://docs.google.com/spreadsheets/d/1QqKyyYR6Q21VydFLVH3TRQUabQu_ym0Zz7PgGX0-kHA/edit?usp=sharing"",""แผน!EJ78"")"),150)</f>
        <v>150</v>
      </c>
      <c r="J365" s="491">
        <f ca="1">J372</f>
        <v>141</v>
      </c>
      <c r="K365" s="492">
        <f t="shared" ca="1" si="161"/>
        <v>94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IFERROR(__xludf.DUMMYFUNCTION("IMPORTRANGE(""https://docs.google.com/spreadsheets/d/1XWAQStnk-4SwqDmLtmXYiTMKHgktTP8We1SCoS47DrQ/edit?usp=sharing"",""จัดที่ดิน!E78"")"),172)</f>
        <v>172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IFERROR(__xludf.DUMMYFUNCTION("IMPORTRANGE(""https://docs.google.com/spreadsheets/d/1QqKyyYR6Q21VydFLVH3TRQUabQu_ym0Zz7PgGX0-kHA/edit?usp=sharing"",""แผน!EI78"")"),1520)</f>
        <v>1520</v>
      </c>
      <c r="J369" s="270">
        <f ca="1">IFERROR(__xludf.DUMMYFUNCTION("IMPORTRANGE(""https://docs.google.com/spreadsheets/d/1XWAQStnk-4SwqDmLtmXYiTMKHgktTP8We1SCoS47DrQ/edit?usp=sharing"",""จัดที่ดิน!F78"")"),1192.55)</f>
        <v>1192.55</v>
      </c>
      <c r="K369" s="498">
        <f t="shared" ca="1" si="163"/>
        <v>78.45723684210526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IFERROR(__xludf.DUMMYFUNCTION("IMPORTRANGE(""https://docs.google.com/spreadsheets/d/1QqKyyYR6Q21VydFLVH3TRQUabQu_ym0Zz7PgGX0-kHA/edit?usp=sharing"",""แผน!EJ78"")"),150)</f>
        <v>150</v>
      </c>
      <c r="J370" s="270">
        <f ca="1">IFERROR(__xludf.DUMMYFUNCTION("IMPORTRANGE(""https://docs.google.com/spreadsheets/d/1XWAQStnk-4SwqDmLtmXYiTMKHgktTP8We1SCoS47DrQ/edit?usp=sharing"",""จัดที่ดิน!G78"")"),182)</f>
        <v>182</v>
      </c>
      <c r="K370" s="498">
        <f t="shared" ca="1" si="163"/>
        <v>121.33333333333333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IFERROR(__xludf.DUMMYFUNCTION("IMPORTRANGE(""https://docs.google.com/spreadsheets/d/1XWAQStnk-4SwqDmLtmXYiTMKHgktTP8We1SCoS47DrQ/edit?usp=sharing"",""จัดที่ดิน!H78"")"),1328.42)</f>
        <v>1328.42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IFERROR(__xludf.DUMMYFUNCTION("IMPORTRANGE(""https://docs.google.com/spreadsheets/d/1QqKyyYR6Q21VydFLVH3TRQUabQu_ym0Zz7PgGX0-kHA/edit?usp=sharing"",""แผน!EJ78"")"),150)</f>
        <v>150</v>
      </c>
      <c r="J372" s="270">
        <f ca="1">IFERROR(__xludf.DUMMYFUNCTION("IMPORTRANGE(""https://docs.google.com/spreadsheets/d/1XWAQStnk-4SwqDmLtmXYiTMKHgktTP8We1SCoS47DrQ/edit?usp=sharing"",""จัดที่ดิน!I78"")"),141)</f>
        <v>141</v>
      </c>
      <c r="K372" s="498">
        <f t="shared" ca="1" si="163"/>
        <v>94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IFERROR(__xludf.DUMMYFUNCTION("IMPORTRANGE(""https://docs.google.com/spreadsheets/d/1XWAQStnk-4SwqDmLtmXYiTMKHgktTP8We1SCoS47DrQ/edit?usp=sharing"",""จัดที่ดิน!J78"")"),1044.33)</f>
        <v>1044.33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IFERROR(__xludf.DUMMYFUNCTION("IMPORTRANGE(""https://docs.google.com/spreadsheets/d/1QqKyyYR6Q21VydFLVH3TRQUabQu_ym0Zz7PgGX0-kHA/edit?usp=sharing"",""แผน!EU78"")"),450)</f>
        <v>450</v>
      </c>
      <c r="J374" s="491">
        <f ca="1">J381</f>
        <v>291</v>
      </c>
      <c r="K374" s="492">
        <f t="shared" ca="1" si="163"/>
        <v>64.666666666666671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IFERROR(__xludf.DUMMYFUNCTION("IMPORTRANGE(""https://docs.google.com/spreadsheets/d/1XWAQStnk-4SwqDmLtmXYiTMKHgktTP8We1SCoS47DrQ/edit?usp=sharing"",""จัดที่ดิน!AH78"")"),133)</f>
        <v>133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IFERROR(__xludf.DUMMYFUNCTION("IMPORTRANGE(""https://docs.google.com/spreadsheets/d/1QqKyyYR6Q21VydFLVH3TRQUabQu_ym0Zz7PgGX0-kHA/edit?usp=sharing"",""แผน!ET78"")"),1500)</f>
        <v>1500</v>
      </c>
      <c r="J378" s="270">
        <f ca="1">IFERROR(__xludf.DUMMYFUNCTION("IMPORTRANGE(""https://docs.google.com/spreadsheets/d/1XWAQStnk-4SwqDmLtmXYiTMKHgktTP8We1SCoS47DrQ/edit?usp=sharing"",""จัดที่ดิน!AI78"")"),803.74)</f>
        <v>803.74</v>
      </c>
      <c r="K378" s="498">
        <f t="shared" ca="1" si="164"/>
        <v>53.582666666666668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IFERROR(__xludf.DUMMYFUNCTION("IMPORTRANGE(""https://docs.google.com/spreadsheets/d/1QqKyyYR6Q21VydFLVH3TRQUabQu_ym0Zz7PgGX0-kHA/edit?usp=sharing"",""แผน!EU78"")"),450)</f>
        <v>450</v>
      </c>
      <c r="J379" s="270">
        <f ca="1">IFERROR(__xludf.DUMMYFUNCTION("IMPORTRANGE(""https://docs.google.com/spreadsheets/d/1XWAQStnk-4SwqDmLtmXYiTMKHgktTP8We1SCoS47DrQ/edit?usp=sharing"",""จัดที่ดิน!AJ78"")"),399)</f>
        <v>399</v>
      </c>
      <c r="K379" s="498">
        <f t="shared" ca="1" si="164"/>
        <v>88.666666666666671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IFERROR(__xludf.DUMMYFUNCTION("IMPORTRANGE(""https://docs.google.com/spreadsheets/d/1XWAQStnk-4SwqDmLtmXYiTMKHgktTP8We1SCoS47DrQ/edit?usp=sharing"",""จัดที่ดิน!AK78"")"),3498.48)</f>
        <v>3498.48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IFERROR(__xludf.DUMMYFUNCTION("IMPORTRANGE(""https://docs.google.com/spreadsheets/d/1QqKyyYR6Q21VydFLVH3TRQUabQu_ym0Zz7PgGX0-kHA/edit?usp=sharing"",""แผน!EU78"")"),450)</f>
        <v>450</v>
      </c>
      <c r="J381" s="270">
        <f ca="1">IFERROR(__xludf.DUMMYFUNCTION("IMPORTRANGE(""https://docs.google.com/spreadsheets/d/1XWAQStnk-4SwqDmLtmXYiTMKHgktTP8We1SCoS47DrQ/edit?usp=sharing"",""จัดที่ดิน!AL78"")"),291)</f>
        <v>291</v>
      </c>
      <c r="K381" s="498">
        <f t="shared" ca="1" si="164"/>
        <v>64.666666666666671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IFERROR(__xludf.DUMMYFUNCTION("IMPORTRANGE(""https://docs.google.com/spreadsheets/d/1XWAQStnk-4SwqDmLtmXYiTMKHgktTP8We1SCoS47DrQ/edit?usp=sharing"",""จัดที่ดิน!AM78"")"),2855.58)</f>
        <v>2855.58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IFERROR(__xludf.DUMMYFUNCTION("IMPORTRANGE(""https://docs.google.com/spreadsheets/d/1QqKyyYR6Q21VydFLVH3TRQUabQu_ym0Zz7PgGX0-kHA/edit?usp=sharing"",""แผน!EW78"")"),40)</f>
        <v>40</v>
      </c>
      <c r="J385" s="505">
        <f ca="1">IFERROR(__xludf.DUMMYFUNCTION("IMPORTRANGE(""https://docs.google.com/spreadsheets/d/1XWAQStnk-4SwqDmLtmXYiTMKHgktTP8We1SCoS47DrQ/edit?usp=sharing"",""จัดที่ดิน!AP78"")"),16)</f>
        <v>16</v>
      </c>
      <c r="K385" s="506">
        <f ca="1">IF(I385&gt;0,J385*100/I385,0)</f>
        <v>40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IFERROR(__xludf.DUMMYFUNCTION("IMPORTRANGE(""https://docs.google.com/spreadsheets/d/1MeEWN-I1oV_STSDYn1IFDPWt_1FKiwhDph83XaGc0o0/edit?usp=sharing"",""งบพรบ!FG78"")"),0)</f>
        <v>0</v>
      </c>
      <c r="M394" s="93">
        <f ca="1">IFERROR(__xludf.DUMMYFUNCTION("IMPORTRANGE(""https://docs.google.com/spreadsheets/d/1MeEWN-I1oV_STSDYn1IFDPWt_1FKiwhDph83XaGc0o0/edit?usp=sharing"",""งบพรบ!FL78"")"),0)</f>
        <v>0</v>
      </c>
      <c r="N394" s="93">
        <f ca="1">IFERROR(__xludf.DUMMYFUNCTION("IMPORTRANGE(""https://docs.google.com/spreadsheets/d/1MeEWN-I1oV_STSDYn1IFDPWt_1FKiwhDph83XaGc0o0/edit?usp=sharing"",""งบพรบ!FN78"")"),0)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IFERROR(__xludf.DUMMYFUNCTION("IMPORTRANGE(""https://docs.google.com/spreadsheets/d/1MeEWN-I1oV_STSDYn1IFDPWt_1FKiwhDph83XaGc0o0/edit?usp=sharing"",""งบพรบ!FJ78"")"),0)</f>
        <v>0</v>
      </c>
      <c r="M397" s="93">
        <f ca="1">IFERROR(__xludf.DUMMYFUNCTION("IMPORTRANGE(""https://docs.google.com/spreadsheets/d/1MeEWN-I1oV_STSDYn1IFDPWt_1FKiwhDph83XaGc0o0/edit?usp=sharing"",""งบพรบ!FM78"")"),0)</f>
        <v>0</v>
      </c>
      <c r="N397" s="93">
        <f ca="1">IFERROR(__xludf.DUMMYFUNCTION("IMPORTRANGE(""https://docs.google.com/spreadsheets/d/1MeEWN-I1oV_STSDYn1IFDPWt_1FKiwhDph83XaGc0o0/edit?usp=sharing"",""งบพรบ!FO78"")"),0)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IFERROR(__xludf.DUMMYFUNCTION("IMPORTRANGE(""https://docs.google.com/spreadsheets/d/1MeEWN-I1oV_STSDYn1IFDPWt_1FKiwhDph83XaGc0o0/edit?usp=sharing"",""งบพรบ!FQ78"")"),0)</f>
        <v>0</v>
      </c>
      <c r="M407" s="93">
        <f ca="1">IFERROR(__xludf.DUMMYFUNCTION("IMPORTRANGE(""https://docs.google.com/spreadsheets/d/1MeEWN-I1oV_STSDYn1IFDPWt_1FKiwhDph83XaGc0o0/edit?usp=sharing"",""งบพรบ!FV78"")"),0)</f>
        <v>0</v>
      </c>
      <c r="N407" s="93">
        <f ca="1">IFERROR(__xludf.DUMMYFUNCTION("IMPORTRANGE(""https://docs.google.com/spreadsheets/d/1MeEWN-I1oV_STSDYn1IFDPWt_1FKiwhDph83XaGc0o0/edit?usp=sharing"",""งบพรบ!FX78"")"),0)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IFERROR(__xludf.DUMMYFUNCTION("IMPORTRANGE(""https://docs.google.com/spreadsheets/d/1MeEWN-I1oV_STSDYn1IFDPWt_1FKiwhDph83XaGc0o0/edit?usp=sharing"",""งบพรบ!FT78"")"),0)</f>
        <v>0</v>
      </c>
      <c r="M410" s="93">
        <f ca="1">IFERROR(__xludf.DUMMYFUNCTION("IMPORTRANGE(""https://docs.google.com/spreadsheets/d/1MeEWN-I1oV_STSDYn1IFDPWt_1FKiwhDph83XaGc0o0/edit?usp=sharing"",""งบพรบ!FW78"")"),0)</f>
        <v>0</v>
      </c>
      <c r="N410" s="93">
        <f ca="1">IFERROR(__xludf.DUMMYFUNCTION("IMPORTRANGE(""https://docs.google.com/spreadsheets/d/1MeEWN-I1oV_STSDYn1IFDPWt_1FKiwhDph83XaGc0o0/edit?usp=sharing"",""งบพรบ!FY78"")"),0)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792843</v>
      </c>
      <c r="M414" s="553">
        <f t="shared" ca="1" si="181"/>
        <v>792843</v>
      </c>
      <c r="N414" s="553">
        <f t="shared" si="181"/>
        <v>497712.55</v>
      </c>
      <c r="O414" s="553">
        <f ca="1">IF(L414&gt;0,N414*100/L414,0)</f>
        <v>62.775675638178051</v>
      </c>
      <c r="P414" s="553">
        <f ca="1">IF(M414&gt;0,N414*100/M414,0)</f>
        <v>62.775675638178051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27815</v>
      </c>
      <c r="O419" s="155">
        <f t="shared" ref="O419:O424" ca="1" si="185">IF(L419&gt;0,N419*100/L419,0)</f>
        <v>35.36104754640224</v>
      </c>
      <c r="P419" s="155">
        <f t="shared" ref="P419:P424" ca="1" si="186">IF(M419&gt;0,N419*100/M419,0)</f>
        <v>35.36104754640224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27815</v>
      </c>
      <c r="O421" s="93">
        <f t="shared" ca="1" si="185"/>
        <v>35.36104754640224</v>
      </c>
      <c r="P421" s="93">
        <f t="shared" ca="1" si="186"/>
        <v>35.36104754640224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78660</v>
      </c>
      <c r="N422" s="498">
        <f t="shared" si="188"/>
        <v>27815</v>
      </c>
      <c r="O422" s="498">
        <f t="shared" ca="1" si="185"/>
        <v>35.36104754640224</v>
      </c>
      <c r="P422" s="498">
        <f t="shared" ca="1" si="186"/>
        <v>35.36104754640224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IFERROR(__xludf.DUMMYFUNCTION("IMPORTRANGE(""https://docs.google.com/spreadsheets/d/1QqKyyYR6Q21VydFLVH3TRQUabQu_ym0Zz7PgGX0-kHA/edit?usp=sharing"",""แผน!EY78"")"),78660)</f>
        <v>78660</v>
      </c>
      <c r="M424" s="93">
        <f ca="1">L424</f>
        <v>78660</v>
      </c>
      <c r="N424" s="93">
        <f>N425+N426+N427+N428</f>
        <v>27815</v>
      </c>
      <c r="O424" s="93">
        <f t="shared" ca="1" si="185"/>
        <v>35.36104754640224</v>
      </c>
      <c r="P424" s="93">
        <f t="shared" ca="1" si="186"/>
        <v>35.36104754640224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f>22120+960</f>
        <v>23080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1360+3375</f>
        <v>4735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IFERROR(__xludf.DUMMYFUNCTION("IMPORTRANGE(""https://docs.google.com/spreadsheets/d/1QqKyyYR6Q21VydFLVH3TRQUabQu_ym0Zz7PgGX0-kHA/edit?usp=sharing"",""แผน!FC78"")"),20)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IFERROR(__xludf.DUMMYFUNCTION("IMPORTRANGE(""https://docs.google.com/spreadsheets/d/1QqKyyYR6Q21VydFLVH3TRQUabQu_ym0Zz7PgGX0-kHA/edit?usp=sharing"",""แผน!FD78"")"),0)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IFERROR(__xludf.DUMMYFUNCTION("IMPORTRANGE(""https://docs.google.com/spreadsheets/d/1QqKyyYR6Q21VydFLVH3TRQUabQu_ym0Zz7PgGX0-kHA/edit?usp=sharing"",""แผน!FE78"")"),0)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IFERROR(__xludf.DUMMYFUNCTION("IMPORTRANGE(""https://docs.google.com/spreadsheets/d/1QqKyyYR6Q21VydFLVH3TRQUabQu_ym0Zz7PgGX0-kHA/edit?usp=sharing"",""แผน!FF78"")"),20)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IFERROR(__xludf.DUMMYFUNCTION("IMPORTRANGE(""https://docs.google.com/spreadsheets/d/1QqKyyYR6Q21VydFLVH3TRQUabQu_ym0Zz7PgGX0-kHA/edit?usp=sharing"",""แผน!FG78"")"),1)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367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IFERROR(__xludf.DUMMYFUNCTION("IMPORTRANGE(""https://docs.google.com/spreadsheets/d/1QqKyyYR6Q21VydFLVH3TRQUabQu_ym0Zz7PgGX0-kHA/edit?usp=sharing"",""แผน!FH78"")"),0)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IFERROR(__xludf.DUMMYFUNCTION("IMPORTRANGE(""https://docs.google.com/spreadsheets/d/1QqKyyYR6Q21VydFLVH3TRQUabQu_ym0Zz7PgGX0-kHA/edit?usp=sharing"",""แผน!FJ78"")"),0)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IFERROR(__xludf.DUMMYFUNCTION("IMPORTRANGE(""https://docs.google.com/spreadsheets/d/1QqKyyYR6Q21VydFLVH3TRQUabQu_ym0Zz7PgGX0-kHA/edit?usp=sharing"",""แผน!FN78"")"),0)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IFERROR(__xludf.DUMMYFUNCTION("IMPORTRANGE(""https://docs.google.com/spreadsheets/d/1QqKyyYR6Q21VydFLVH3TRQUabQu_ym0Zz7PgGX0-kHA/edit?usp=sharing"",""แผน!FO78"")"),0)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IFERROR(__xludf.DUMMYFUNCTION("IMPORTRANGE(""https://docs.google.com/spreadsheets/d/1QqKyyYR6Q21VydFLVH3TRQUabQu_ym0Zz7PgGX0-kHA/edit?usp=sharing"",""แผน!FO78"")"),0)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IFERROR(__xludf.DUMMYFUNCTION("IMPORTRANGE(""https://docs.google.com/spreadsheets/d/1QqKyyYR6Q21VydFLVH3TRQUabQu_ym0Zz7PgGX0-kHA/edit?usp=sharing"",""แผน!FN78"")"),0)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IFERROR(__xludf.DUMMYFUNCTION("IMPORTRANGE(""https://docs.google.com/spreadsheets/d/1QqKyyYR6Q21VydFLVH3TRQUabQu_ym0Zz7PgGX0-kHA/edit?usp=sharing"",""แผน!FX78"")"),21)</f>
        <v>21</v>
      </c>
      <c r="J465" s="589">
        <f>J485+J489+J492</f>
        <v>21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IFERROR(__xludf.DUMMYFUNCTION("IMPORTRANGE(""https://docs.google.com/spreadsheets/d/1QqKyyYR6Q21VydFLVH3TRQUabQu_ym0Zz7PgGX0-kHA/edit?usp=sharing"",""แผน!FW78"")"),200)</f>
        <v>200</v>
      </c>
      <c r="J466" s="569">
        <f>J495+J498</f>
        <v>180</v>
      </c>
      <c r="K466" s="570">
        <f t="shared" ca="1" si="205"/>
        <v>90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187163</v>
      </c>
      <c r="M467" s="195">
        <f t="shared" ca="1" si="206"/>
        <v>187163</v>
      </c>
      <c r="N467" s="195">
        <f t="shared" si="206"/>
        <v>182612</v>
      </c>
      <c r="O467" s="195">
        <f t="shared" ref="O467:O472" ca="1" si="207">IF(L467&gt;0,N467*100/L467,0)</f>
        <v>97.568429657571201</v>
      </c>
      <c r="P467" s="195">
        <f t="shared" ref="P467:P472" ca="1" si="208">IF(M467&gt;0,N467*100/M467,0)</f>
        <v>97.568429657571201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187163</v>
      </c>
      <c r="M469" s="93">
        <f t="shared" ca="1" si="209"/>
        <v>187163</v>
      </c>
      <c r="N469" s="93">
        <f t="shared" si="209"/>
        <v>182612</v>
      </c>
      <c r="O469" s="93">
        <f t="shared" ca="1" si="207"/>
        <v>97.568429657571201</v>
      </c>
      <c r="P469" s="93">
        <f t="shared" ca="1" si="208"/>
        <v>97.568429657571201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187163</v>
      </c>
      <c r="M470" s="498">
        <f t="shared" ca="1" si="210"/>
        <v>187163</v>
      </c>
      <c r="N470" s="498">
        <f t="shared" si="210"/>
        <v>182612</v>
      </c>
      <c r="O470" s="498">
        <f t="shared" ca="1" si="207"/>
        <v>97.568429657571201</v>
      </c>
      <c r="P470" s="498">
        <f t="shared" ca="1" si="208"/>
        <v>97.568429657571201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IFERROR(__xludf.DUMMYFUNCTION("IMPORTRANGE(""https://docs.google.com/spreadsheets/d/1QqKyyYR6Q21VydFLVH3TRQUabQu_ym0Zz7PgGX0-kHA/edit?usp=sharing"",""แผน!FS78"")"),187163)</f>
        <v>187163</v>
      </c>
      <c r="M472" s="93">
        <f ca="1">L472</f>
        <v>187163</v>
      </c>
      <c r="N472" s="93">
        <f>N473+N474+N475+N476</f>
        <v>182612</v>
      </c>
      <c r="O472" s="93">
        <f t="shared" ca="1" si="207"/>
        <v>97.568429657571201</v>
      </c>
      <c r="P472" s="93">
        <f t="shared" ca="1" si="208"/>
        <v>97.568429657571201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f>37823-220</f>
        <v>37603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f>4010+2968+88000+40000</f>
        <v>134978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4201+120+360+240+550+240+2840+1480</f>
        <v>10031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IFERROR(__xludf.DUMMYFUNCTION("IMPORTRANGE(""https://docs.google.com/spreadsheets/d/1QqKyyYR6Q21VydFLVH3TRQUabQu_ym0Zz7PgGX0-kHA/edit?usp=sharing"",""แผน!FY78"")"),180)</f>
        <v>180</v>
      </c>
      <c r="J483" s="215">
        <v>160</v>
      </c>
      <c r="K483" s="498">
        <f ca="1">IF(I483&gt;0,J483*100/I483,0)</f>
        <v>88.888888888888886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IFERROR(__xludf.DUMMYFUNCTION("IMPORTRANGE(""https://docs.google.com/spreadsheets/d/1QqKyyYR6Q21VydFLVH3TRQUabQu_ym0Zz7PgGX0-kHA/edit?usp=sharing"",""แผน!FZ78"")"),18)</f>
        <v>18</v>
      </c>
      <c r="J485" s="215">
        <v>18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IFERROR(__xludf.DUMMYFUNCTION("IMPORTRANGE(""https://docs.google.com/spreadsheets/d/1QqKyyYR6Q21VydFLVH3TRQUabQu_ym0Zz7PgGX0-kHA/edit?usp=sharing"",""แผน!GA78"")"),20)</f>
        <v>20</v>
      </c>
      <c r="J487" s="215">
        <v>20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IFERROR(__xludf.DUMMYFUNCTION("IMPORTRANGE(""https://docs.google.com/spreadsheets/d/1QqKyyYR6Q21VydFLVH3TRQUabQu_ym0Zz7PgGX0-kHA/edit?usp=sharing"",""แผน!GB78"")"),2)</f>
        <v>2</v>
      </c>
      <c r="J489" s="215">
        <v>2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IFERROR(__xludf.DUMMYFUNCTION("IMPORTRANGE(""https://docs.google.com/spreadsheets/d/1QqKyyYR6Q21VydFLVH3TRQUabQu_ym0Zz7PgGX0-kHA/edit?usp=sharing"",""แผน!GC78"")"),1)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IFERROR(__xludf.DUMMYFUNCTION("IMPORTRANGE(""https://docs.google.com/spreadsheets/d/1QqKyyYR6Q21VydFLVH3TRQUabQu_ym0Zz7PgGX0-kHA/edit?usp=sharing"",""แผน!FY78"")"),180)</f>
        <v>180</v>
      </c>
      <c r="J495" s="215">
        <v>160</v>
      </c>
      <c r="K495" s="498">
        <f ca="1">IF(I495&gt;0,J495*100/I495,0)</f>
        <v>88.888888888888886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20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IFERROR(__xludf.DUMMYFUNCTION("IMPORTRANGE(""https://docs.google.com/spreadsheets/d/1QqKyyYR6Q21VydFLVH3TRQUabQu_ym0Zz7PgGX0-kHA/edit?usp=sharing"",""แผน!GA78"")"),20)</f>
        <v>20</v>
      </c>
      <c r="J498" s="215">
        <v>20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IFERROR(__xludf.DUMMYFUNCTION("IMPORTRANGE(""https://docs.google.com/spreadsheets/d/1QqKyyYR6Q21VydFLVH3TRQUabQu_ym0Zz7PgGX0-kHA/edit?usp=sharing"",""แผน!GU78"")"),0)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IFERROR(__xludf.DUMMYFUNCTION("IMPORTRANGE(""https://docs.google.com/spreadsheets/d/1QqKyyYR6Q21VydFLVH3TRQUabQu_ym0Zz7PgGX0-kHA/edit?usp=sharing"",""แผน!GV78"")"),0)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IFERROR(__xludf.DUMMYFUNCTION("IMPORTRANGE(""https://docs.google.com/spreadsheets/d/1QqKyyYR6Q21VydFLVH3TRQUabQu_ym0Zz7PgGX0-kHA/edit?usp=sharing"",""แผน!GW78"")"),0)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IFERROR(__xludf.DUMMYFUNCTION("IMPORTRANGE(""https://docs.google.com/spreadsheets/d/1QqKyyYR6Q21VydFLVH3TRQUabQu_ym0Zz7PgGX0-kHA/edit?usp=sharing"",""แผน!GX78"")"),0)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IFERROR(__xludf.DUMMYFUNCTION("IMPORTRANGE(""https://docs.google.com/spreadsheets/d/1QqKyyYR6Q21VydFLVH3TRQUabQu_ym0Zz7PgGX0-kHA/edit?usp=sharing"",""แผน!GY78"")"),0)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IFERROR(__xludf.DUMMYFUNCTION("IMPORTRANGE(""https://docs.google.com/spreadsheets/d/1QqKyyYR6Q21VydFLVH3TRQUabQu_ym0Zz7PgGX0-kHA/edit?usp=sharing"",""แผน!GZ78"")"),0)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29942</v>
      </c>
      <c r="J543" s="686">
        <f t="shared" si="235"/>
        <v>26125</v>
      </c>
      <c r="K543" s="687">
        <f t="shared" ca="1" si="234"/>
        <v>87.252020573108013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305575</v>
      </c>
      <c r="M544" s="155">
        <f t="shared" ca="1" si="236"/>
        <v>305575</v>
      </c>
      <c r="N544" s="155">
        <f t="shared" si="236"/>
        <v>243115.86</v>
      </c>
      <c r="O544" s="155">
        <f t="shared" ref="O544:O549" ca="1" si="237">IF(L544&gt;0,N544*100/L544,0)</f>
        <v>79.560127628241844</v>
      </c>
      <c r="P544" s="155">
        <f t="shared" ref="P544:P549" ca="1" si="238">IF(M544&gt;0,N544*100/M544,0)</f>
        <v>79.560127628241844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305575</v>
      </c>
      <c r="M546" s="93">
        <f t="shared" ca="1" si="240"/>
        <v>305575</v>
      </c>
      <c r="N546" s="93">
        <f t="shared" si="240"/>
        <v>243115.86</v>
      </c>
      <c r="O546" s="93">
        <f t="shared" ca="1" si="237"/>
        <v>79.560127628241844</v>
      </c>
      <c r="P546" s="93">
        <f t="shared" ca="1" si="238"/>
        <v>79.560127628241844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305575</v>
      </c>
      <c r="M547" s="498">
        <f t="shared" ca="1" si="241"/>
        <v>305575</v>
      </c>
      <c r="N547" s="498">
        <f t="shared" si="241"/>
        <v>243115.86</v>
      </c>
      <c r="O547" s="498">
        <f t="shared" ca="1" si="237"/>
        <v>79.560127628241844</v>
      </c>
      <c r="P547" s="498">
        <f t="shared" ca="1" si="238"/>
        <v>79.560127628241844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IFERROR(__xludf.DUMMYFUNCTION("IMPORTRANGE(""https://docs.google.com/spreadsheets/d/1QqKyyYR6Q21VydFLVH3TRQUabQu_ym0Zz7PgGX0-kHA/edit?usp=sharing"",""แผน!HB78"")"),305575)</f>
        <v>305575</v>
      </c>
      <c r="M549" s="93">
        <f ca="1">L549</f>
        <v>305575</v>
      </c>
      <c r="N549" s="93">
        <f>N550+N551+N552+N553+N554</f>
        <v>243115.86</v>
      </c>
      <c r="O549" s="93">
        <f t="shared" ca="1" si="237"/>
        <v>79.560127628241844</v>
      </c>
      <c r="P549" s="93">
        <f t="shared" ca="1" si="238"/>
        <v>79.560127628241844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f>(25460-3500)+3480+202.5</f>
        <v>25642.5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f>18230+8120+6750+6810</f>
        <v>39910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f>12566.67+12566.67+12566.67+12566.67+13000+12133.34+12133.34+13000</f>
        <v>100533.36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4533+3508+17583+432+2240+1820+3380+1220+1920+1220+10760+3300+5667+1651+3800+2720+2256+2600+1480+2360+2580</f>
        <v>77030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29942</v>
      </c>
      <c r="J559" s="707">
        <f t="shared" si="245"/>
        <v>26125</v>
      </c>
      <c r="K559" s="676">
        <f t="shared" ref="K559:K561" ca="1" si="246">IF(I559&gt;0,J559*100/I559,0)</f>
        <v>87.252020573108013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IFERROR(__xludf.DUMMYFUNCTION("IMPORTRANGE(""https://docs.google.com/spreadsheets/d/1QqKyyYR6Q21VydFLVH3TRQUabQu_ym0Zz7PgGX0-kHA/edit?usp=sharing"",""แผน!HH78"")"),29942)</f>
        <v>29942</v>
      </c>
      <c r="J560" s="193">
        <f t="shared" ref="J560:J561" si="247">J562+J564+J566</f>
        <v>29942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IFERROR(__xludf.DUMMYFUNCTION("IMPORTRANGE(""https://docs.google.com/spreadsheets/d/1QqKyyYR6Q21VydFLVH3TRQUabQu_ym0Zz7PgGX0-kHA/edit?usp=sharing"",""แผน!HG78"")"),3752)</f>
        <v>3752</v>
      </c>
      <c r="J561" s="193">
        <f t="shared" si="247"/>
        <v>3752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25831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3325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3753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375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358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52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IFERROR(__xludf.DUMMYFUNCTION("IMPORTRANGE(""https://docs.google.com/spreadsheets/d/1QqKyyYR6Q21VydFLVH3TRQUabQu_ym0Zz7PgGX0-kHA/edit?usp=sharing"",""แผน!HH78"")"),29942)</f>
        <v>29942</v>
      </c>
      <c r="J568" s="680">
        <f t="shared" ref="J568:J569" si="248">J570+J572+J574</f>
        <v>29942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IFERROR(__xludf.DUMMYFUNCTION("IMPORTRANGE(""https://docs.google.com/spreadsheets/d/1QqKyyYR6Q21VydFLVH3TRQUabQu_ym0Zz7PgGX0-kHA/edit?usp=sharing"",""แผน!HG78"")"),3752)</f>
        <v>3752</v>
      </c>
      <c r="J569" s="680">
        <f t="shared" si="248"/>
        <v>3752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25782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3314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3802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386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358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52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IFERROR(__xludf.DUMMYFUNCTION("IMPORTRANGE(""https://docs.google.com/spreadsheets/d/1QqKyyYR6Q21VydFLVH3TRQUabQu_ym0Zz7PgGX0-kHA/edit?usp=sharing"",""แผน!HH78"")"),29942)</f>
        <v>29942</v>
      </c>
      <c r="J576" s="680">
        <f t="shared" ref="J576:J577" si="250">J578+J580+J582+J588+J590</f>
        <v>26125</v>
      </c>
      <c r="K576" s="412">
        <f t="shared" ref="K576:K577" ca="1" si="251">IF(I576&gt;0,J576*100/I576,0)</f>
        <v>87.252020573108013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IFERROR(__xludf.DUMMYFUNCTION("IMPORTRANGE(""https://docs.google.com/spreadsheets/d/1QqKyyYR6Q21VydFLVH3TRQUabQu_ym0Zz7PgGX0-kHA/edit?usp=sharing"",""แผน!HG78"")"),3752)</f>
        <v>3752</v>
      </c>
      <c r="J577" s="680">
        <f t="shared" si="250"/>
        <v>3363</v>
      </c>
      <c r="K577" s="412">
        <f t="shared" ca="1" si="251"/>
        <v>89.63219616204691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25782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3314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343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49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343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49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179.63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IFERROR(__xludf.DUMMYFUNCTION("IMPORTRANGE(""https://docs.google.com/spreadsheets/d/1QqKyyYR6Q21VydFLVH3TRQUabQu_ym0Zz7PgGX0-kHA/edit?usp=sharing"",""แผน!HJ78"")"),179.63)</f>
        <v>179.63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IFERROR(__xludf.DUMMYFUNCTION("IMPORTRANGE(""https://docs.google.com/spreadsheets/d/1QqKyyYR6Q21VydFLVH3TRQUabQu_ym0Zz7PgGX0-kHA/edit?usp=sharing"",""แผน!HI78"")"),36)</f>
        <v>36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IFERROR(__xludf.DUMMYFUNCTION("IMPORTRANGE(""https://docs.google.com/spreadsheets/d/1QqKyyYR6Q21VydFLVH3TRQUabQu_ym0Zz7PgGX0-kHA/edit?usp=sharing"",""แผน!HL78"")"),8)</f>
        <v>8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IFERROR(__xludf.DUMMYFUNCTION("IMPORTRANGE(""https://docs.google.com/spreadsheets/d/1QqKyyYR6Q21VydFLVH3TRQUabQu_ym0Zz7PgGX0-kHA/edit?usp=sharing"",""แผน!HK78"")"),2)</f>
        <v>2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40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221445</v>
      </c>
      <c r="M629" s="195">
        <f t="shared" ca="1" si="263"/>
        <v>221445</v>
      </c>
      <c r="N629" s="195">
        <f t="shared" si="263"/>
        <v>44169.69</v>
      </c>
      <c r="O629" s="195">
        <f t="shared" ref="O629:O634" ca="1" si="264">IF(L629&gt;0,N629*100/L629,0)</f>
        <v>19.946122061911534</v>
      </c>
      <c r="P629" s="195">
        <f t="shared" ref="P629:P634" ca="1" si="265">IF(M629&gt;0,N629*100/M629,0)</f>
        <v>19.946122061911534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221445</v>
      </c>
      <c r="M631" s="93">
        <f t="shared" ca="1" si="266"/>
        <v>221445</v>
      </c>
      <c r="N631" s="93">
        <f t="shared" si="266"/>
        <v>44169.69</v>
      </c>
      <c r="O631" s="93">
        <f t="shared" ca="1" si="264"/>
        <v>19.946122061911534</v>
      </c>
      <c r="P631" s="93">
        <f t="shared" ca="1" si="265"/>
        <v>19.946122061911534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221445</v>
      </c>
      <c r="M632" s="498">
        <f t="shared" ca="1" si="267"/>
        <v>221445</v>
      </c>
      <c r="N632" s="498">
        <f t="shared" si="267"/>
        <v>44169.69</v>
      </c>
      <c r="O632" s="498">
        <f t="shared" ca="1" si="264"/>
        <v>19.946122061911534</v>
      </c>
      <c r="P632" s="498">
        <f t="shared" ca="1" si="265"/>
        <v>19.946122061911534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IFERROR(__xludf.DUMMYFUNCTION("IMPORTRANGE(""https://docs.google.com/spreadsheets/d/1QqKyyYR6Q21VydFLVH3TRQUabQu_ym0Zz7PgGX0-kHA/edit?usp=sharing"",""แผน!HN78"")"),221445)</f>
        <v>221445</v>
      </c>
      <c r="M634" s="93">
        <f ca="1">L634</f>
        <v>221445</v>
      </c>
      <c r="N634" s="93">
        <f>N635+N636+N637+N638</f>
        <v>44169.69</v>
      </c>
      <c r="O634" s="93">
        <f t="shared" ca="1" si="264"/>
        <v>19.946122061911534</v>
      </c>
      <c r="P634" s="93">
        <f t="shared" ca="1" si="265"/>
        <v>19.946122061911534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f>3780+6300</f>
        <v>10080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f>2350+2260+1600+5800+3380+9059.69+5680+3960</f>
        <v>34089.69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IFERROR(__xludf.DUMMYFUNCTION("IMPORTRANGE(""https://docs.google.com/spreadsheets/d/1QqKyyYR6Q21VydFLVH3TRQUabQu_ym0Zz7PgGX0-kHA/edit?usp=sharing"",""แผน!HR78"")"),1)</f>
        <v>1</v>
      </c>
      <c r="J643" s="215">
        <v>1</v>
      </c>
      <c r="K643" s="163">
        <f t="shared" ref="K643:K652" ca="1" si="271">IF(I643&gt;0,J643*100/I643,0)</f>
        <v>100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IFERROR(__xludf.DUMMYFUNCTION("IMPORTRANGE(""https://docs.google.com/spreadsheets/d/1QqKyyYR6Q21VydFLVH3TRQUabQu_ym0Zz7PgGX0-kHA/edit?usp=sharing"",""แผน!HR78"")"),1)</f>
        <v>1</v>
      </c>
      <c r="J644" s="215">
        <v>1</v>
      </c>
      <c r="K644" s="163">
        <f t="shared" ca="1" si="271"/>
        <v>100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IFERROR(__xludf.DUMMYFUNCTION("IMPORTRANGE(""https://docs.google.com/spreadsheets/d/1XWAQStnk-4SwqDmLtmXYiTMKHgktTP8We1SCoS47DrQ/edit?usp=sharing"",""จัดที่ดิน!AS78"")"),24)</f>
        <v>24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IFERROR(__xludf.DUMMYFUNCTION("IMPORTRANGE(""https://docs.google.com/spreadsheets/d/1XWAQStnk-4SwqDmLtmXYiTMKHgktTP8We1SCoS47DrQ/edit?usp=sharing"",""จัดที่ดิน!AT78"")"),7.71)</f>
        <v>7.71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IFERROR(__xludf.DUMMYFUNCTION("IMPORTRANGE(""https://docs.google.com/spreadsheets/d/1QqKyyYR6Q21VydFLVH3TRQUabQu_ym0Zz7PgGX0-kHA/edit?usp=sharing"",""แผน!HS78"")"),40)</f>
        <v>40</v>
      </c>
      <c r="J647" s="270">
        <f ca="1">IFERROR(__xludf.DUMMYFUNCTION("IMPORTRANGE(""https://docs.google.com/spreadsheets/d/1XWAQStnk-4SwqDmLtmXYiTMKHgktTP8We1SCoS47DrQ/edit?usp=sharing"",""จัดที่ดิน!AU78"")"),11)</f>
        <v>11</v>
      </c>
      <c r="K647" s="163">
        <f t="shared" ca="1" si="271"/>
        <v>27.5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IFERROR(__xludf.DUMMYFUNCTION("IMPORTRANGE(""https://docs.google.com/spreadsheets/d/1XWAQStnk-4SwqDmLtmXYiTMKHgktTP8We1SCoS47DrQ/edit?usp=sharing"",""จัดที่ดิน!AV78"")"),3.48)</f>
        <v>3.48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IFERROR(__xludf.DUMMYFUNCTION("IMPORTRANGE(""https://docs.google.com/spreadsheets/d/1QqKyyYR6Q21VydFLVH3TRQUabQu_ym0Zz7PgGX0-kHA/edit?usp=sharing"",""แผน!HS78"")"),40)</f>
        <v>40</v>
      </c>
      <c r="J649" s="270">
        <f ca="1">IFERROR(__xludf.DUMMYFUNCTION("IMPORTRANGE(""https://docs.google.com/spreadsheets/d/1XWAQStnk-4SwqDmLtmXYiTMKHgktTP8We1SCoS47DrQ/edit?usp=sharing"",""จัดที่ดิน!AW78"")"),0)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IFERROR(__xludf.DUMMYFUNCTION("IMPORTRANGE(""https://docs.google.com/spreadsheets/d/1XWAQStnk-4SwqDmLtmXYiTMKHgktTP8We1SCoS47DrQ/edit?usp=sharing"",""จัดที่ดิน!AX78"")"),0)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IFERROR(__xludf.DUMMYFUNCTION("IMPORTRANGE(""https://docs.google.com/spreadsheets/d/1QqKyyYR6Q21VydFLVH3TRQUabQu_ym0Zz7PgGX0-kHA/edit?usp=sharing"",""แผน!HS78"")"),40)</f>
        <v>40</v>
      </c>
      <c r="J651" s="270">
        <f ca="1">IFERROR(__xludf.DUMMYFUNCTION("IMPORTRANGE(""https://docs.google.com/spreadsheets/d/1XWAQStnk-4SwqDmLtmXYiTMKHgktTP8We1SCoS47DrQ/edit?usp=sharing"",""จัดที่ดิน!AY78"")"),0)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IFERROR(__xludf.DUMMYFUNCTION("IMPORTRANGE(""https://docs.google.com/spreadsheets/d/1XWAQStnk-4SwqDmLtmXYiTMKHgktTP8We1SCoS47DrQ/edit?usp=sharing"",""จัดที่ดิน!AZ78"")"),0)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IFERROR(__xludf.DUMMYFUNCTION("IMPORTRANGE(""https://docs.google.com/spreadsheets/d/1QqKyyYR6Q21VydFLVH3TRQUabQu_ym0Zz7PgGX0-kHA/edit?usp=sharing"",""แผน!IA78"")"),0)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IFERROR(__xludf.DUMMYFUNCTION("IMPORTRANGE(""https://docs.google.com/spreadsheets/d/1QqKyyYR6Q21VydFLVH3TRQUabQu_ym0Zz7PgGX0-kHA/edit?usp=sharing"",""แผน!HZ78"")"),0)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IFERROR(__xludf.DUMMYFUNCTION("IMPORTRANGE(""https://docs.google.com/spreadsheets/d/1QqKyyYR6Q21VydFLVH3TRQUabQu_ym0Zz7PgGX0-kHA/edit?usp=sharing"",""แผน!HZ78"")"),0)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IFERROR(__xludf.DUMMYFUNCTION("IMPORTRANGE(""https://docs.google.com/spreadsheets/d/1QqKyyYR6Q21VydFLVH3TRQUabQu_ym0Zz7PgGX0-kHA/edit?usp=sharing"",""แผน!IB78"")"),0)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IFERROR(__xludf.DUMMYFUNCTION("IMPORTRANGE(""https://docs.google.com/spreadsheets/d/1QqKyyYR6Q21VydFLVH3TRQUabQu_ym0Zz7PgGX0-kHA/edit?usp=sharing"",""แผน!IC78"")"),0)</f>
        <v>0</v>
      </c>
      <c r="J699" s="270">
        <f ca="1">IFERROR(__xludf.DUMMYFUNCTION("IMPORTRANGE(""https://docs.google.com/spreadsheets/d/1XWAQStnk-4SwqDmLtmXYiTMKHgktTP8We1SCoS47DrQ/edit?usp=sharing"",""จัดที่ดิน!BB78"")"),0)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IFERROR(__xludf.DUMMYFUNCTION("IMPORTRANGE(""https://docs.google.com/spreadsheets/d/1QqKyyYR6Q21VydFLVH3TRQUabQu_ym0Zz7PgGX0-kHA/edit?usp=sharing"",""แผน!ID78"")"),0)</f>
        <v>0</v>
      </c>
      <c r="J700" s="270">
        <f ca="1">IFERROR(__xludf.DUMMYFUNCTION("IMPORTRANGE(""https://docs.google.com/spreadsheets/d/1XWAQStnk-4SwqDmLtmXYiTMKHgktTP8We1SCoS47DrQ/edit?usp=sharing"",""จัดที่ดิน!BD78"")"),0)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IFERROR(__xludf.DUMMYFUNCTION("IMPORTRANGE(""https://docs.google.com/spreadsheets/d/1QqKyyYR6Q21VydFLVH3TRQUabQu_ym0Zz7PgGX0-kHA/edit?usp=sharing"",""แผน!IE78"")"),0)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IFERROR(__xludf.DUMMYFUNCTION("IMPORTRANGE(""https://docs.google.com/spreadsheets/d/1QqKyyYR6Q21VydFLVH3TRQUabQu_ym0Zz7PgGX0-kHA/edit?usp=sharing"",""แผน!IF78"")"),0)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IFERROR(__xludf.DUMMYFUNCTION("IMPORTRANGE(""https://docs.google.com/spreadsheets/d/1QqKyyYR6Q21VydFLVH3TRQUabQu_ym0Zz7PgGX0-kHA/edit?usp=sharing"",""แผน!IG78"")"),0)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IFERROR(__xludf.DUMMYFUNCTION("IMPORTRANGE(""https://docs.google.com/spreadsheets/d/1QqKyyYR6Q21VydFLVH3TRQUabQu_ym0Zz7PgGX0-kHA/edit?usp=sharing"",""แผน!IH78"")"),0)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IFERROR(__xludf.DUMMYFUNCTION("IMPORTRANGE(""https://docs.google.com/spreadsheets/d/1XWAQStnk-4SwqDmLtmXYiTMKHgktTP8We1SCoS47DrQ/edit?usp=sharing"",""จัดที่ดิน!BF78"")"),0)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IFERROR(__xludf.DUMMYFUNCTION("IMPORTRANGE(""https://docs.google.com/spreadsheets/d/1XWAQStnk-4SwqDmLtmXYiTMKHgktTP8We1SCoS47DrQ/edit?usp=sharing"",""จัดที่ดิน!BG78"")"),0)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IFERROR(__xludf.DUMMYFUNCTION("IMPORTRANGE(""https://docs.google.com/spreadsheets/d/1QqKyyYR6Q21VydFLVH3TRQUabQu_ym0Zz7PgGX0-kHA/edit?usp=sharing"",""แผน!II78"")"),0)</f>
        <v>0</v>
      </c>
      <c r="J720" s="270">
        <f ca="1">IFERROR(__xludf.DUMMYFUNCTION("IMPORTRANGE(""https://docs.google.com/spreadsheets/d/1XWAQStnk-4SwqDmLtmXYiTMKHgktTP8We1SCoS47DrQ/edit?usp=sharing"",""จัดที่ดิน!BH78"")"),0)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IFERROR(__xludf.DUMMYFUNCTION("IMPORTRANGE(""https://docs.google.com/spreadsheets/d/1QqKyyYR6Q21VydFLVH3TRQUabQu_ym0Zz7PgGX0-kHA/edit?usp=sharing"",""แผน!IJ78"")"),0)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IFERROR(__xludf.DUMMYFUNCTION("IMPORTRANGE(""https://docs.google.com/spreadsheets/d/1QqKyyYR6Q21VydFLVH3TRQUabQu_ym0Zz7PgGX0-kHA/edit?usp=sharing"",""แผน!IK78"")"),0)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IFERROR(__xludf.DUMMYFUNCTION("IMPORTRANGE(""https://docs.google.com/spreadsheets/d/1QqKyyYR6Q21VydFLVH3TRQUabQu_ym0Zz7PgGX0-kHA/edit?usp=sharing"",""แผน!IL78"")"),0)</f>
        <v>0</v>
      </c>
      <c r="J723" s="270">
        <f ca="1">IFERROR(__xludf.DUMMYFUNCTION("IMPORTRANGE(""https://docs.google.com/spreadsheets/d/1XWAQStnk-4SwqDmLtmXYiTMKHgktTP8We1SCoS47DrQ/edit?usp=sharing"",""จัดที่ดิน!BM78"")"),0)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IFERROR(__xludf.DUMMYFUNCTION("IMPORTRANGE(""https://docs.google.com/spreadsheets/d/1XWAQStnk-4SwqDmLtmXYiTMKHgktTP8We1SCoS47DrQ/edit?usp=sharing"",""จัดที่ดิน!BN78"")"),0)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IFERROR(__xludf.DUMMYFUNCTION("IMPORTRANGE(""https://docs.google.com/spreadsheets/d/1QqKyyYR6Q21VydFLVH3TRQUabQu_ym0Zz7PgGX0-kHA/edit?usp=sharing"",""แผน!IM78"")"),0)</f>
        <v>0</v>
      </c>
      <c r="J725" s="270">
        <f ca="1">IFERROR(__xludf.DUMMYFUNCTION("IMPORTRANGE(""https://docs.google.com/spreadsheets/d/1XWAQStnk-4SwqDmLtmXYiTMKHgktTP8We1SCoS47DrQ/edit?usp=sharing"",""จัดที่ดิน!BO78"")"),0)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IFERROR(__xludf.DUMMYFUNCTION("IMPORTRANGE(""https://docs.google.com/spreadsheets/d/1QqKyyYR6Q21VydFLVH3TRQUabQu_ym0Zz7PgGX0-kHA/edit?usp=sharing"",""แผน!IN78"")"),0)</f>
        <v>0</v>
      </c>
      <c r="J726" s="270">
        <f ca="1">IFERROR(__xludf.DUMMYFUNCTION("IMPORTRANGE(""https://docs.google.com/spreadsheets/d/1XWAQStnk-4SwqDmLtmXYiTMKHgktTP8We1SCoS47DrQ/edit?usp=sharing"",""จัดที่ดิน!BR78"")"),0)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IFERROR(__xludf.DUMMYFUNCTION("IMPORTRANGE(""https://docs.google.com/spreadsheets/d/1XWAQStnk-4SwqDmLtmXYiTMKHgktTP8We1SCoS47DrQ/edit?usp=sharing"",""จัดที่ดิน!BS78"")"),0)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IFERROR(__xludf.DUMMYFUNCTION("IMPORTRANGE(""https://docs.google.com/spreadsheets/d/1QqKyyYR6Q21VydFLVH3TRQUabQu_ym0Zz7PgGX0-kHA/edit?usp=sharing"",""แผน!IO78"")"),0)</f>
        <v>0</v>
      </c>
      <c r="J728" s="270">
        <f ca="1">IFERROR(__xludf.DUMMYFUNCTION("IMPORTRANGE(""https://docs.google.com/spreadsheets/d/1XWAQStnk-4SwqDmLtmXYiTMKHgktTP8We1SCoS47DrQ/edit?usp=sharing"",""จัดที่ดิน!BT78"")"),0)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IFERROR(__xludf.DUMMYFUNCTION("IMPORTRANGE(""https://docs.google.com/spreadsheets/d/1QqKyyYR6Q21VydFLVH3TRQUabQu_ym0Zz7PgGX0-kHA/edit?usp=sharing"",""แผน!IP78"")"),0)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IFERROR(__xludf.DUMMYFUNCTION("IMPORTRANGE(""https://docs.google.com/spreadsheets/d/1QqKyyYR6Q21VydFLVH3TRQUabQu_ym0Zz7PgGX0-kHA/edit?usp=sharing"",""แผน!JN78"")"),0)</f>
        <v>0</v>
      </c>
      <c r="J800" s="184">
        <f ca="1">IFERROR(__xludf.DUMMYFUNCTION("IMPORTRANGE(""https://docs.google.com/spreadsheets/d/1MaWodYyGHDf7siQLGxnXhG4mBNTNIuy296niS2xXulU/edit?usp=sharing"",""RTK!H78"")"),0)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IFERROR(__xludf.DUMMYFUNCTION("IMPORTRANGE(""https://docs.google.com/spreadsheets/d/1MaWodYyGHDf7siQLGxnXhG4mBNTNIuy296niS2xXulU/edit?usp=sharing"",""RTK!I78"")"),0)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333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IFERROR(__xludf.DUMMYFUNCTION("IMPORTRANGE(""https://docs.google.com/spreadsheets/d/19vJNZY_5yjcGF2XGBMNZRCAIB0Kwfpjp8YEOfu-bneM/edit?usp=sharing"",""งานกองทุน!D78"")"),2828251.92)</f>
        <v>2828251.92</v>
      </c>
      <c r="J821" s="270">
        <f ca="1">IFERROR(__xludf.DUMMYFUNCTION("IMPORTRANGE(""https://docs.google.com/spreadsheets/d/19vJNZY_5yjcGF2XGBMNZRCAIB0Kwfpjp8YEOfu-bneM/edit?usp=sharing"",""งานกองทุน!F78"")"),1502813.76)</f>
        <v>1502813.76</v>
      </c>
      <c r="K821" s="498">
        <f t="shared" ref="K821:K828" ca="1" si="335">IF(I821&gt;0,J821*100/I821,0)</f>
        <v>53.135781483001701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IFERROR(__xludf.DUMMYFUNCTION("IMPORTRANGE(""https://docs.google.com/spreadsheets/d/19vJNZY_5yjcGF2XGBMNZRCAIB0Kwfpjp8YEOfu-bneM/edit?usp=sharing"",""งานกองทุน!C78"")"),178)</f>
        <v>178</v>
      </c>
      <c r="J822" s="270">
        <f ca="1">IFERROR(__xludf.DUMMYFUNCTION("IMPORTRANGE(""https://docs.google.com/spreadsheets/d/19vJNZY_5yjcGF2XGBMNZRCAIB0Kwfpjp8YEOfu-bneM/edit?usp=sharing"",""งานกองทุน!E78"")"),102)</f>
        <v>102</v>
      </c>
      <c r="K822" s="498">
        <f t="shared" ca="1" si="335"/>
        <v>57.303370786516851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IFERROR(__xludf.DUMMYFUNCTION("IMPORTRANGE(""https://docs.google.com/spreadsheets/d/19vJNZY_5yjcGF2XGBMNZRCAIB0Kwfpjp8YEOfu-bneM/edit?usp=sharing"",""งานกองทุน!I78"")"),2053041.08)</f>
        <v>2053041.08</v>
      </c>
      <c r="J823" s="270">
        <f ca="1">IFERROR(__xludf.DUMMYFUNCTION("IMPORTRANGE(""https://docs.google.com/spreadsheets/d/19vJNZY_5yjcGF2XGBMNZRCAIB0Kwfpjp8YEOfu-bneM/edit?usp=sharing"",""งานกองทุน!K78"")"),447889.81)</f>
        <v>447889.81</v>
      </c>
      <c r="K823" s="498">
        <f t="shared" ca="1" si="335"/>
        <v>21.815920507542888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IFERROR(__xludf.DUMMYFUNCTION("IMPORTRANGE(""https://docs.google.com/spreadsheets/d/19vJNZY_5yjcGF2XGBMNZRCAIB0Kwfpjp8YEOfu-bneM/edit?usp=sharing"",""งานกองทุน!H78"")"),93)</f>
        <v>93</v>
      </c>
      <c r="J824" s="270">
        <f ca="1">IFERROR(__xludf.DUMMYFUNCTION("IMPORTRANGE(""https://docs.google.com/spreadsheets/d/19vJNZY_5yjcGF2XGBMNZRCAIB0Kwfpjp8YEOfu-bneM/edit?usp=sharing"",""งานกองทุน!J78"")"),72)</f>
        <v>72</v>
      </c>
      <c r="K824" s="498">
        <f t="shared" ca="1" si="335"/>
        <v>77.41935483870968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IFERROR(__xludf.DUMMYFUNCTION("IMPORTRANGE(""https://docs.google.com/spreadsheets/d/19vJNZY_5yjcGF2XGBMNZRCAIB0Kwfpjp8YEOfu-bneM/edit?usp=sharing"",""งานกองทุน!N78"")"),0)</f>
        <v>0</v>
      </c>
      <c r="J825" s="270">
        <f ca="1">IFERROR(__xludf.DUMMYFUNCTION("IMPORTRANGE(""https://docs.google.com/spreadsheets/d/19vJNZY_5yjcGF2XGBMNZRCAIB0Kwfpjp8YEOfu-bneM/edit?usp=sharing"",""งานกองทุน!P78"")"),0)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IFERROR(__xludf.DUMMYFUNCTION("IMPORTRANGE(""https://docs.google.com/spreadsheets/d/19vJNZY_5yjcGF2XGBMNZRCAIB0Kwfpjp8YEOfu-bneM/edit?usp=sharing"",""งานกองทุน!M78"")"),0)</f>
        <v>0</v>
      </c>
      <c r="J826" s="270">
        <f ca="1">IFERROR(__xludf.DUMMYFUNCTION("IMPORTRANGE(""https://docs.google.com/spreadsheets/d/19vJNZY_5yjcGF2XGBMNZRCAIB0Kwfpjp8YEOfu-bneM/edit?usp=sharing"",""งานกองทุน!O78"")"),0)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IFERROR(__xludf.DUMMYFUNCTION("IMPORTRANGE(""https://docs.google.com/spreadsheets/d/19vJNZY_5yjcGF2XGBMNZRCAIB0Kwfpjp8YEOfu-bneM/edit?usp=sharing"",""งานกองทุน!S78"")"),2280000)</f>
        <v>2280000</v>
      </c>
      <c r="J827" s="270">
        <f ca="1">IFERROR(__xludf.DUMMYFUNCTION("IMPORTRANGE(""https://docs.google.com/spreadsheets/d/19vJNZY_5yjcGF2XGBMNZRCAIB0Kwfpjp8YEOfu-bneM/edit?usp=sharing"",""งานกองทุน!U78"")"),2420000)</f>
        <v>2420000</v>
      </c>
      <c r="K827" s="498">
        <f t="shared" ca="1" si="335"/>
        <v>106.14035087719299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IFERROR(__xludf.DUMMYFUNCTION("IMPORTRANGE(""https://docs.google.com/spreadsheets/d/19vJNZY_5yjcGF2XGBMNZRCAIB0Kwfpjp8YEOfu-bneM/edit?usp=sharing"",""งานกองทุน!R78"")"),91)</f>
        <v>91</v>
      </c>
      <c r="J828" s="505">
        <f ca="1">IFERROR(__xludf.DUMMYFUNCTION("IMPORTRANGE(""https://docs.google.com/spreadsheets/d/19vJNZY_5yjcGF2XGBMNZRCAIB0Kwfpjp8YEOfu-bneM/edit?usp=sharing"",""งานกองทุน!T78"")"),96)</f>
        <v>96</v>
      </c>
      <c r="K828" s="506">
        <f t="shared" ca="1" si="335"/>
        <v>105.49450549450549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8EAB9-7E22-48AF-AFB9-C43ED11E56D5}">
  <sheetPr>
    <outlinePr summaryBelow="0" summaryRight="0"/>
    <pageSetUpPr fitToPage="1"/>
  </sheetPr>
  <dimension ref="A1:Z828"/>
  <sheetViews>
    <sheetView showGridLines="0" view="pageBreakPreview" zoomScale="60" zoomScaleNormal="100" workbookViewId="0">
      <selection activeCell="Q1" sqref="Q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5.140625" customWidth="1"/>
    <col min="10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  <c r="Q1" s="894"/>
    </row>
    <row r="2" spans="1:26" ht="19.5">
      <c r="A2" s="829" t="s">
        <v>340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2683594</v>
      </c>
      <c r="M8" s="22">
        <f t="shared" ca="1" si="0"/>
        <v>2971976</v>
      </c>
      <c r="N8" s="22">
        <f t="shared" ca="1" si="0"/>
        <v>2225515.2999999998</v>
      </c>
      <c r="O8" s="22">
        <f t="shared" ref="O8:O16" ca="1" si="1">IF(L8&gt;0,N8*100/L8,0)</f>
        <v>82.930402288870809</v>
      </c>
      <c r="P8" s="22">
        <f t="shared" ref="P8:P16" ca="1" si="2">IF(M8&gt;0,N8*100/M8,0)</f>
        <v>74.883353701375782</v>
      </c>
      <c r="Q8" s="23"/>
      <c r="R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2683594</v>
      </c>
      <c r="M10" s="30">
        <f t="shared" ca="1" si="3"/>
        <v>2971976</v>
      </c>
      <c r="N10" s="30">
        <f t="shared" ca="1" si="3"/>
        <v>2225515.2999999998</v>
      </c>
      <c r="O10" s="30">
        <f t="shared" ca="1" si="1"/>
        <v>82.930402288870809</v>
      </c>
      <c r="P10" s="30">
        <f t="shared" ca="1" si="2"/>
        <v>74.883353701375782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2592794</v>
      </c>
      <c r="M11" s="498">
        <f t="shared" ca="1" si="4"/>
        <v>2881176</v>
      </c>
      <c r="N11" s="498">
        <f t="shared" ca="1" si="4"/>
        <v>2134715.2999999998</v>
      </c>
      <c r="O11" s="498">
        <f t="shared" ca="1" si="1"/>
        <v>82.332622645686456</v>
      </c>
      <c r="P11" s="498">
        <f t="shared" ca="1" si="2"/>
        <v>74.091804874120839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2592794</v>
      </c>
      <c r="M13" s="93">
        <f t="shared" ca="1" si="5"/>
        <v>2881176</v>
      </c>
      <c r="N13" s="93">
        <f t="shared" ca="1" si="5"/>
        <v>2134715.2999999998</v>
      </c>
      <c r="O13" s="93">
        <f t="shared" ca="1" si="1"/>
        <v>82.332622645686456</v>
      </c>
      <c r="P13" s="93">
        <f t="shared" ca="1" si="2"/>
        <v>74.091804874120839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90800</v>
      </c>
      <c r="M14" s="498">
        <f t="shared" ca="1" si="6"/>
        <v>90800</v>
      </c>
      <c r="N14" s="498">
        <f t="shared" ca="1" si="6"/>
        <v>90800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90800</v>
      </c>
      <c r="M16" s="52">
        <f t="shared" ca="1" si="7"/>
        <v>90800</v>
      </c>
      <c r="N16" s="52">
        <f t="shared" ca="1" si="7"/>
        <v>90800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1945970</v>
      </c>
      <c r="M18" s="22">
        <f t="shared" ca="1" si="8"/>
        <v>2239962</v>
      </c>
      <c r="N18" s="22">
        <f t="shared" ca="1" si="8"/>
        <v>1642235.3</v>
      </c>
      <c r="O18" s="22">
        <f t="shared" ref="O18:O26" ca="1" si="9">IF(L18&gt;0,N18*100/L18,0)</f>
        <v>84.391604187114908</v>
      </c>
      <c r="P18" s="22">
        <f t="shared" ref="P18:P26" ca="1" si="10">IF(M18&gt;0,N18*100/M18,0)</f>
        <v>73.315319634886663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1945970</v>
      </c>
      <c r="M20" s="30">
        <f t="shared" ca="1" si="11"/>
        <v>2239962</v>
      </c>
      <c r="N20" s="30">
        <f t="shared" ca="1" si="11"/>
        <v>1642235.3</v>
      </c>
      <c r="O20" s="30">
        <f t="shared" ca="1" si="9"/>
        <v>84.391604187114908</v>
      </c>
      <c r="P20" s="30">
        <f t="shared" ca="1" si="10"/>
        <v>73.315319634886663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1855170</v>
      </c>
      <c r="M21" s="498">
        <f t="shared" ca="1" si="12"/>
        <v>2149162</v>
      </c>
      <c r="N21" s="498">
        <f t="shared" ca="1" si="12"/>
        <v>1551435.3</v>
      </c>
      <c r="O21" s="498">
        <f t="shared" ca="1" si="9"/>
        <v>83.627662154950755</v>
      </c>
      <c r="P21" s="498">
        <f t="shared" ca="1" si="10"/>
        <v>72.187917895440179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1855170</v>
      </c>
      <c r="M23" s="93">
        <f t="shared" ca="1" si="13"/>
        <v>2149162</v>
      </c>
      <c r="N23" s="93">
        <f t="shared" ca="1" si="13"/>
        <v>1551435.3</v>
      </c>
      <c r="O23" s="93">
        <f t="shared" ca="1" si="9"/>
        <v>83.627662154950755</v>
      </c>
      <c r="P23" s="93">
        <f t="shared" ca="1" si="10"/>
        <v>72.187917895440179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90800</v>
      </c>
      <c r="M24" s="498">
        <f t="shared" ca="1" si="14"/>
        <v>90800</v>
      </c>
      <c r="N24" s="498">
        <f t="shared" ca="1" si="14"/>
        <v>90800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90800</v>
      </c>
      <c r="M26" s="52">
        <f t="shared" ca="1" si="15"/>
        <v>90800</v>
      </c>
      <c r="N26" s="52">
        <f t="shared" ca="1" si="15"/>
        <v>90800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737624</v>
      </c>
      <c r="M28" s="22">
        <f t="shared" ca="1" si="16"/>
        <v>732014</v>
      </c>
      <c r="N28" s="22">
        <f t="shared" si="16"/>
        <v>583280</v>
      </c>
      <c r="O28" s="22">
        <f t="shared" ref="O28:O37" ca="1" si="17">IF(L28&gt;0,N28*100/L28,0)</f>
        <v>79.075518150168648</v>
      </c>
      <c r="P28" s="22">
        <f t="shared" ref="P28:P37" ca="1" si="18">IF(M28&gt;0,N28*100/M28,0)</f>
        <v>79.681536145483562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737624</v>
      </c>
      <c r="M30" s="30">
        <f t="shared" ca="1" si="19"/>
        <v>732014</v>
      </c>
      <c r="N30" s="30">
        <f t="shared" si="19"/>
        <v>583280</v>
      </c>
      <c r="O30" s="30">
        <f t="shared" ca="1" si="17"/>
        <v>79.075518150168648</v>
      </c>
      <c r="P30" s="30">
        <f t="shared" ca="1" si="18"/>
        <v>79.681536145483562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737624</v>
      </c>
      <c r="M31" s="498">
        <f t="shared" ca="1" si="20"/>
        <v>732014</v>
      </c>
      <c r="N31" s="498">
        <f t="shared" si="20"/>
        <v>583280</v>
      </c>
      <c r="O31" s="498">
        <f t="shared" ca="1" si="17"/>
        <v>79.075518150168648</v>
      </c>
      <c r="P31" s="498">
        <f t="shared" ca="1" si="18"/>
        <v>79.681536145483562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737624</v>
      </c>
      <c r="M33" s="93">
        <f t="shared" ca="1" si="21"/>
        <v>732014</v>
      </c>
      <c r="N33" s="93">
        <f t="shared" si="21"/>
        <v>583280</v>
      </c>
      <c r="O33" s="93">
        <f t="shared" ca="1" si="17"/>
        <v>79.075518150168648</v>
      </c>
      <c r="P33" s="93">
        <f t="shared" ca="1" si="18"/>
        <v>79.681536145483562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1945970</v>
      </c>
      <c r="M37" s="858">
        <f t="shared" ca="1" si="24"/>
        <v>2239962</v>
      </c>
      <c r="N37" s="858">
        <f t="shared" ca="1" si="24"/>
        <v>1642235.3</v>
      </c>
      <c r="O37" s="858">
        <f t="shared" ca="1" si="17"/>
        <v>84.391604187114908</v>
      </c>
      <c r="P37" s="858">
        <f t="shared" ca="1" si="18"/>
        <v>73.315319634886663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273150</v>
      </c>
      <c r="M41" s="85">
        <f t="shared" ca="1" si="25"/>
        <v>485452</v>
      </c>
      <c r="N41" s="85">
        <f t="shared" ca="1" si="25"/>
        <v>400952</v>
      </c>
      <c r="O41" s="85">
        <f t="shared" ref="O41:O49" ca="1" si="26">IF(L41&gt;0,N41*100/L41,0)</f>
        <v>146.78821160534505</v>
      </c>
      <c r="P41" s="85">
        <f t="shared" ref="P41:P49" ca="1" si="27">IF(M41&gt;0,N41*100/M41,0)</f>
        <v>82.59354168898264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273150</v>
      </c>
      <c r="M43" s="92">
        <f t="shared" ca="1" si="28"/>
        <v>485452</v>
      </c>
      <c r="N43" s="92">
        <f t="shared" ca="1" si="28"/>
        <v>400952</v>
      </c>
      <c r="O43" s="92">
        <f t="shared" ca="1" si="26"/>
        <v>146.78821160534505</v>
      </c>
      <c r="P43" s="92">
        <f t="shared" ca="1" si="27"/>
        <v>82.59354168898264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273150</v>
      </c>
      <c r="M44" s="498">
        <f t="shared" ca="1" si="29"/>
        <v>485452</v>
      </c>
      <c r="N44" s="498">
        <f t="shared" ca="1" si="29"/>
        <v>400952</v>
      </c>
      <c r="O44" s="498">
        <f t="shared" ca="1" si="26"/>
        <v>146.78821160534505</v>
      </c>
      <c r="P44" s="498">
        <f t="shared" ca="1" si="27"/>
        <v>82.59354168898264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IFERROR(__xludf.DUMMYFUNCTION("IMPORTRANGE(""https://docs.google.com/spreadsheets/d/1MeEWN-I1oV_STSDYn1IFDPWt_1FKiwhDph83XaGc0o0/edit?usp=sharing"",""งบพรบ!M79"")"),273150)</f>
        <v>273150</v>
      </c>
      <c r="M46" s="93">
        <f ca="1">IFERROR(__xludf.DUMMYFUNCTION("IMPORTRANGE(""https://docs.google.com/spreadsheets/d/1MeEWN-I1oV_STSDYn1IFDPWt_1FKiwhDph83XaGc0o0/edit?usp=sharing"",""งบพรบ!R79"")"),485452)</f>
        <v>485452</v>
      </c>
      <c r="N46" s="93">
        <f ca="1">IFERROR(__xludf.DUMMYFUNCTION("IMPORTRANGE(""https://docs.google.com/spreadsheets/d/1MeEWN-I1oV_STSDYn1IFDPWt_1FKiwhDph83XaGc0o0/edit?usp=sharing"",""งบพรบ!T79"")"),400952)</f>
        <v>400952</v>
      </c>
      <c r="O46" s="93">
        <f t="shared" ca="1" si="26"/>
        <v>146.78821160534505</v>
      </c>
      <c r="P46" s="93">
        <f t="shared" ca="1" si="27"/>
        <v>82.59354168898264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IFERROR(__xludf.DUMMYFUNCTION("IMPORTRANGE(""https://docs.google.com/spreadsheets/d/1MeEWN-I1oV_STSDYn1IFDPWt_1FKiwhDph83XaGc0o0/edit?usp=sharing"",""งบพรบ!P79"")"),0)</f>
        <v>0</v>
      </c>
      <c r="M49" s="52">
        <f ca="1">IFERROR(__xludf.DUMMYFUNCTION("IMPORTRANGE(""https://docs.google.com/spreadsheets/d/1MeEWN-I1oV_STSDYn1IFDPWt_1FKiwhDph83XaGc0o0/edit?usp=sharing"",""งบพรบ!S79"")"),0)</f>
        <v>0</v>
      </c>
      <c r="N49" s="52">
        <f ca="1">IFERROR(__xludf.DUMMYFUNCTION("IMPORTRANGE(""https://docs.google.com/spreadsheets/d/1MeEWN-I1oV_STSDYn1IFDPWt_1FKiwhDph83XaGc0o0/edit?usp=sharing"",""งบพรบ!U79"")"),0)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559000</v>
      </c>
      <c r="M53" s="116">
        <f t="shared" ca="1" si="31"/>
        <v>559000</v>
      </c>
      <c r="N53" s="116">
        <f t="shared" ca="1" si="31"/>
        <v>380077.38</v>
      </c>
      <c r="O53" s="116">
        <f t="shared" ref="O53:O61" ca="1" si="32">IF(L53&gt;0,N53*100/L53,0)</f>
        <v>67.992375670840786</v>
      </c>
      <c r="P53" s="116">
        <f t="shared" ref="P53:P61" ca="1" si="33">IF(M53&gt;0,N53*100/M53,0)</f>
        <v>67.992375670840786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559000</v>
      </c>
      <c r="M55" s="123">
        <f t="shared" ca="1" si="34"/>
        <v>559000</v>
      </c>
      <c r="N55" s="123">
        <f t="shared" ca="1" si="34"/>
        <v>380077.38</v>
      </c>
      <c r="O55" s="123">
        <f t="shared" ca="1" si="32"/>
        <v>67.992375670840786</v>
      </c>
      <c r="P55" s="123">
        <f t="shared" ca="1" si="33"/>
        <v>67.992375670840786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559000</v>
      </c>
      <c r="M56" s="498">
        <f t="shared" ca="1" si="35"/>
        <v>559000</v>
      </c>
      <c r="N56" s="498">
        <f t="shared" ca="1" si="35"/>
        <v>380077.38</v>
      </c>
      <c r="O56" s="498">
        <f t="shared" ca="1" si="32"/>
        <v>67.992375670840786</v>
      </c>
      <c r="P56" s="498">
        <f t="shared" ca="1" si="33"/>
        <v>67.992375670840786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IFERROR(__xludf.DUMMYFUNCTION("IMPORTRANGE(""https://docs.google.com/spreadsheets/d/1MeEWN-I1oV_STSDYn1IFDPWt_1FKiwhDph83XaGc0o0/edit?usp=sharing"",""งบพรบ!W79"")"),559000)</f>
        <v>559000</v>
      </c>
      <c r="M58" s="93">
        <f ca="1">IFERROR(__xludf.DUMMYFUNCTION("IMPORTRANGE(""https://docs.google.com/spreadsheets/d/1MeEWN-I1oV_STSDYn1IFDPWt_1FKiwhDph83XaGc0o0/edit?usp=sharing"",""งบพรบ!AB79"")"),559000)</f>
        <v>559000</v>
      </c>
      <c r="N58" s="93">
        <f ca="1">IFERROR(__xludf.DUMMYFUNCTION("IMPORTRANGE(""https://docs.google.com/spreadsheets/d/1MeEWN-I1oV_STSDYn1IFDPWt_1FKiwhDph83XaGc0o0/edit?usp=sharing"",""งบพรบ!AD79"")"),380077.38)</f>
        <v>380077.38</v>
      </c>
      <c r="O58" s="93">
        <f t="shared" ca="1" si="32"/>
        <v>67.992375670840786</v>
      </c>
      <c r="P58" s="93">
        <f t="shared" ca="1" si="33"/>
        <v>67.992375670840786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IFERROR(__xludf.DUMMYFUNCTION("IMPORTRANGE(""https://docs.google.com/spreadsheets/d/1MeEWN-I1oV_STSDYn1IFDPWt_1FKiwhDph83XaGc0o0/edit?usp=sharing"",""งบพรบ!Z79"")"),0)</f>
        <v>0</v>
      </c>
      <c r="M61" s="52">
        <f ca="1">IFERROR(__xludf.DUMMYFUNCTION("IMPORTRANGE(""https://docs.google.com/spreadsheets/d/1MeEWN-I1oV_STSDYn1IFDPWt_1FKiwhDph83XaGc0o0/edit?usp=sharing"",""งบพรบ!AC79"")"),0)</f>
        <v>0</v>
      </c>
      <c r="N61" s="52">
        <f ca="1">IFERROR(__xludf.DUMMYFUNCTION("IMPORTRANGE(""https://docs.google.com/spreadsheets/d/1MeEWN-I1oV_STSDYn1IFDPWt_1FKiwhDph83XaGc0o0/edit?usp=sharing"",""งบพรบ!AE79"")"),0)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IFERROR(__xludf.DUMMYFUNCTION("IMPORTRANGE(""https://docs.google.com/spreadsheets/d/1MeEWN-I1oV_STSDYn1IFDPWt_1FKiwhDph83XaGc0o0/edit?usp=sharing"",""งบพรบ!AG79"")"),0)</f>
        <v>0</v>
      </c>
      <c r="M71" s="93">
        <f ca="1">IFERROR(__xludf.DUMMYFUNCTION("IMPORTRANGE(""https://docs.google.com/spreadsheets/d/1MeEWN-I1oV_STSDYn1IFDPWt_1FKiwhDph83XaGc0o0/edit?usp=sharing"",""งบพรบ!AL79"")"),0)</f>
        <v>0</v>
      </c>
      <c r="N71" s="93">
        <f ca="1">IFERROR(__xludf.DUMMYFUNCTION("IMPORTRANGE(""https://docs.google.com/spreadsheets/d/1MeEWN-I1oV_STSDYn1IFDPWt_1FKiwhDph83XaGc0o0/edit?usp=sharing"",""งบพรบ!AN79"")"),0)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IFERROR(__xludf.DUMMYFUNCTION("IMPORTRANGE(""https://docs.google.com/spreadsheets/d/1MeEWN-I1oV_STSDYn1IFDPWt_1FKiwhDph83XaGc0o0/edit?usp=sharing"",""งบพรบ!AJ79"")"),0)</f>
        <v>0</v>
      </c>
      <c r="M74" s="93">
        <f ca="1">IFERROR(__xludf.DUMMYFUNCTION("IMPORTRANGE(""https://docs.google.com/spreadsheets/d/1MeEWN-I1oV_STSDYn1IFDPWt_1FKiwhDph83XaGc0o0/edit?usp=sharing"",""งบพรบ!AM79"")"),0)</f>
        <v>0</v>
      </c>
      <c r="N74" s="93">
        <f ca="1">IFERROR(__xludf.DUMMYFUNCTION("IMPORTRANGE(""https://docs.google.com/spreadsheets/d/1MeEWN-I1oV_STSDYn1IFDPWt_1FKiwhDph83XaGc0o0/edit?usp=sharing"",""งบพรบ!AO79"")"),0)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IFERROR(__xludf.DUMMYFUNCTION("IMPORTRANGE(""https://docs.google.com/spreadsheets/d/1QqKyyYR6Q21VydFLVH3TRQUabQu_ym0Zz7PgGX0-kHA/edit?usp=sharing"",""แผน!J79"")"),0)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237000</v>
      </c>
      <c r="M88" s="155">
        <f t="shared" ca="1" si="49"/>
        <v>237000</v>
      </c>
      <c r="N88" s="155">
        <f t="shared" ca="1" si="49"/>
        <v>179297.33</v>
      </c>
      <c r="O88" s="155">
        <f t="shared" ref="O88:O96" ca="1" si="50">IF(L88&gt;0,N88*100/L88,0)</f>
        <v>75.652881856540091</v>
      </c>
      <c r="P88" s="155">
        <f t="shared" ref="P88:P96" ca="1" si="51">IF(M88&gt;0,N88*100/M88,0)</f>
        <v>75.652881856540091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237000</v>
      </c>
      <c r="M90" s="93">
        <f t="shared" ca="1" si="52"/>
        <v>237000</v>
      </c>
      <c r="N90" s="93">
        <f t="shared" ca="1" si="52"/>
        <v>179297.33</v>
      </c>
      <c r="O90" s="93">
        <f t="shared" ca="1" si="50"/>
        <v>75.652881856540091</v>
      </c>
      <c r="P90" s="93">
        <f t="shared" ca="1" si="51"/>
        <v>75.652881856540091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237000</v>
      </c>
      <c r="M91" s="498">
        <f t="shared" ca="1" si="53"/>
        <v>237000</v>
      </c>
      <c r="N91" s="498">
        <f t="shared" ca="1" si="53"/>
        <v>179297.33</v>
      </c>
      <c r="O91" s="498">
        <f t="shared" ca="1" si="50"/>
        <v>75.652881856540091</v>
      </c>
      <c r="P91" s="498">
        <f t="shared" ca="1" si="51"/>
        <v>75.652881856540091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IFERROR(__xludf.DUMMYFUNCTION("IMPORTRANGE(""https://docs.google.com/spreadsheets/d/1MeEWN-I1oV_STSDYn1IFDPWt_1FKiwhDph83XaGc0o0/edit?usp=sharing"",""งบพรบ!AQ79"")"),237000)</f>
        <v>237000</v>
      </c>
      <c r="M93" s="93">
        <f ca="1">IFERROR(__xludf.DUMMYFUNCTION("IMPORTRANGE(""https://docs.google.com/spreadsheets/d/1MeEWN-I1oV_STSDYn1IFDPWt_1FKiwhDph83XaGc0o0/edit?usp=sharing"",""งบพรบ!AV79"")"),237000)</f>
        <v>237000</v>
      </c>
      <c r="N93" s="93">
        <f ca="1">IFERROR(__xludf.DUMMYFUNCTION("IMPORTRANGE(""https://docs.google.com/spreadsheets/d/1MeEWN-I1oV_STSDYn1IFDPWt_1FKiwhDph83XaGc0o0/edit?usp=sharing"",""งบพรบ!AX79"")"),179297.33)</f>
        <v>179297.33</v>
      </c>
      <c r="O93" s="93">
        <f t="shared" ca="1" si="50"/>
        <v>75.652881856540091</v>
      </c>
      <c r="P93" s="93">
        <f t="shared" ca="1" si="51"/>
        <v>75.652881856540091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IFERROR(__xludf.DUMMYFUNCTION("IMPORTRANGE(""https://docs.google.com/spreadsheets/d/1MeEWN-I1oV_STSDYn1IFDPWt_1FKiwhDph83XaGc0o0/edit?usp=sharing"",""งบพรบ!AT79"")"),0)</f>
        <v>0</v>
      </c>
      <c r="M96" s="93">
        <f ca="1">IFERROR(__xludf.DUMMYFUNCTION("IMPORTRANGE(""https://docs.google.com/spreadsheets/d/1MeEWN-I1oV_STSDYn1IFDPWt_1FKiwhDph83XaGc0o0/edit?usp=sharing"",""งบพรบ!AW79"")"),0)</f>
        <v>0</v>
      </c>
      <c r="N96" s="93">
        <f ca="1">IFERROR(__xludf.DUMMYFUNCTION("IMPORTRANGE(""https://docs.google.com/spreadsheets/d/1MeEWN-I1oV_STSDYn1IFDPWt_1FKiwhDph83XaGc0o0/edit?usp=sharing"",""งบพรบ!AY79"")"),0)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IFERROR(__xludf.DUMMYFUNCTION("IMPORTRANGE(""https://docs.google.com/spreadsheets/d/1QqKyyYR6Q21VydFLVH3TRQUabQu_ym0Zz7PgGX0-kHA/edit?usp=sharing"",""แผน!K79"")"),75)</f>
        <v>75</v>
      </c>
      <c r="J98" s="270">
        <f>J102</f>
        <v>75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IFERROR(__xludf.DUMMYFUNCTION("IMPORTRANGE(""https://docs.google.com/spreadsheets/d/1QqKyyYR6Q21VydFLVH3TRQUabQu_ym0Zz7PgGX0-kHA/edit?usp=sharing"",""แผน!L79"")"),25)</f>
        <v>25</v>
      </c>
      <c r="J99" s="270">
        <f>J104</f>
        <v>25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IFERROR(__xludf.DUMMYFUNCTION("IMPORTRANGE(""https://docs.google.com/spreadsheets/d/1QqKyyYR6Q21VydFLVH3TRQUabQu_ym0Zz7PgGX0-kHA/edit?usp=sharing"",""แผน!M79"")"),1)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IFERROR(__xludf.DUMMYFUNCTION("IMPORTRANGE(""https://docs.google.com/spreadsheets/d/1QqKyyYR6Q21VydFLVH3TRQUabQu_ym0Zz7PgGX0-kHA/edit?usp=sharing"",""แผน!N79"")"),75)</f>
        <v>75</v>
      </c>
      <c r="J102" s="215">
        <v>75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IFERROR(__xludf.DUMMYFUNCTION("IMPORTRANGE(""https://docs.google.com/spreadsheets/d/1QqKyyYR6Q21VydFLVH3TRQUabQu_ym0Zz7PgGX0-kHA/edit?usp=sharing"",""แผน!O79"")"),25)</f>
        <v>25</v>
      </c>
      <c r="J103" s="215">
        <v>25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IFERROR(__xludf.DUMMYFUNCTION("IMPORTRANGE(""https://docs.google.com/spreadsheets/d/1QqKyyYR6Q21VydFLVH3TRQUabQu_ym0Zz7PgGX0-kHA/edit?usp=sharing"",""แผน!O79"")"),25)</f>
        <v>25</v>
      </c>
      <c r="J104" s="215">
        <v>25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IFERROR(__xludf.DUMMYFUNCTION("IMPORTRANGE(""https://docs.google.com/spreadsheets/d/1QqKyyYR6Q21VydFLVH3TRQUabQu_ym0Zz7PgGX0-kHA/edit?usp=sharing"",""แผน!P79"")"),1)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IFERROR(__xludf.DUMMYFUNCTION("IMPORTRANGE(""https://docs.google.com/spreadsheets/d/1QqKyyYR6Q21VydFLVH3TRQUabQu_ym0Zz7PgGX0-kHA/edit?usp=sharing"",""แผน!P79"")"),1)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IFERROR(__xludf.DUMMYFUNCTION("IMPORTRANGE(""https://docs.google.com/spreadsheets/d/1QqKyyYR6Q21VydFLVH3TRQUabQu_ym0Zz7PgGX0-kHA/edit?usp=sharing"",""แผน!Q79"")"),0)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IFERROR(__xludf.DUMMYFUNCTION("IMPORTRANGE(""https://docs.google.com/spreadsheets/d/1QqKyyYR6Q21VydFLVH3TRQUabQu_ym0Zz7PgGX0-kHA/edit?usp=sharing"",""แผน!Q79"")"),0)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IFERROR(__xludf.DUMMYFUNCTION("IMPORTRANGE(""https://docs.google.com/spreadsheets/d/1QqKyyYR6Q21VydFLVH3TRQUabQu_ym0Zz7PgGX0-kHA/edit?usp=sharing"",""แผน!R79"")"),25)</f>
        <v>25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IFERROR(__xludf.DUMMYFUNCTION("IMPORTRANGE(""https://docs.google.com/spreadsheets/d/1QqKyyYR6Q21VydFLVH3TRQUabQu_ym0Zz7PgGX0-kHA/edit?usp=sharing"",""แผน!R79"")"),25)</f>
        <v>25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IFERROR(__xludf.DUMMYFUNCTION("IMPORTRANGE(""https://docs.google.com/spreadsheets/d/1QqKyyYR6Q21VydFLVH3TRQUabQu_ym0Zz7PgGX0-kHA/edit?usp=sharing"",""แผน!R79"")"),25)</f>
        <v>25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IFERROR(__xludf.DUMMYFUNCTION("IMPORTRANGE(""https://docs.google.com/spreadsheets/d/1QqKyyYR6Q21VydFLVH3TRQUabQu_ym0Zz7PgGX0-kHA/edit?usp=sharing"",""แผน!S79"")"),1)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IFERROR(__xludf.DUMMYFUNCTION("IMPORTRANGE(""https://docs.google.com/spreadsheets/d/1QqKyyYR6Q21VydFLVH3TRQUabQu_ym0Zz7PgGX0-kHA/edit?usp=sharing"",""แผน!T79"")"),0)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IFERROR(__xludf.DUMMYFUNCTION("IMPORTRANGE(""https://docs.google.com/spreadsheets/d/1MeEWN-I1oV_STSDYn1IFDPWt_1FKiwhDph83XaGc0o0/edit?usp=sharing"",""งบพรบ!BA79"")"),0)</f>
        <v>0</v>
      </c>
      <c r="M124" s="93">
        <f ca="1">IFERROR(__xludf.DUMMYFUNCTION("IMPORTRANGE(""https://docs.google.com/spreadsheets/d/1MeEWN-I1oV_STSDYn1IFDPWt_1FKiwhDph83XaGc0o0/edit?usp=sharing"",""งบพรบ!BF79"")"),0)</f>
        <v>0</v>
      </c>
      <c r="N124" s="93">
        <f ca="1">IFERROR(__xludf.DUMMYFUNCTION("IMPORTRANGE(""https://docs.google.com/spreadsheets/d/1MeEWN-I1oV_STSDYn1IFDPWt_1FKiwhDph83XaGc0o0/edit?usp=sharing"",""งบพรบ!BH79"")"),0)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IFERROR(__xludf.DUMMYFUNCTION("IMPORTRANGE(""https://docs.google.com/spreadsheets/d/1MeEWN-I1oV_STSDYn1IFDPWt_1FKiwhDph83XaGc0o0/edit?usp=sharing"",""งบพรบ!BD79"")"),0)</f>
        <v>0</v>
      </c>
      <c r="M127" s="93">
        <f ca="1">IFERROR(__xludf.DUMMYFUNCTION("IMPORTRANGE(""https://docs.google.com/spreadsheets/d/1MeEWN-I1oV_STSDYn1IFDPWt_1FKiwhDph83XaGc0o0/edit?usp=sharing"",""งบพรบ!BG79"")"),0)</f>
        <v>0</v>
      </c>
      <c r="N127" s="93">
        <f ca="1">IFERROR(__xludf.DUMMYFUNCTION("IMPORTRANGE(""https://docs.google.com/spreadsheets/d/1MeEWN-I1oV_STSDYn1IFDPWt_1FKiwhDph83XaGc0o0/edit?usp=sharing"",""งบพรบ!BI79"")"),0)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IFERROR(__xludf.DUMMYFUNCTION("IMPORTRANGE(""https://docs.google.com/spreadsheets/d/1MeEWN-I1oV_STSDYn1IFDPWt_1FKiwhDph83XaGc0o0/edit?usp=sharing"",""งบพรบ!BK79"")"),0)</f>
        <v>0</v>
      </c>
      <c r="M137" s="93">
        <f ca="1">IFERROR(__xludf.DUMMYFUNCTION("IMPORTRANGE(""https://docs.google.com/spreadsheets/d/1MeEWN-I1oV_STSDYn1IFDPWt_1FKiwhDph83XaGc0o0/edit?usp=sharing"",""งบพรบ!BP79"")"),0)</f>
        <v>0</v>
      </c>
      <c r="N137" s="93">
        <f ca="1">IFERROR(__xludf.DUMMYFUNCTION("IMPORTRANGE(""https://docs.google.com/spreadsheets/d/1MeEWN-I1oV_STSDYn1IFDPWt_1FKiwhDph83XaGc0o0/edit?usp=sharing"",""งบพรบ!BR79"")"),0)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IFERROR(__xludf.DUMMYFUNCTION("IMPORTRANGE(""https://docs.google.com/spreadsheets/d/1MeEWN-I1oV_STSDYn1IFDPWt_1FKiwhDph83XaGc0o0/edit?usp=sharing"",""งบพรบ!BN79"")"),0)</f>
        <v>0</v>
      </c>
      <c r="M140" s="93">
        <f ca="1">IFERROR(__xludf.DUMMYFUNCTION("IMPORTRANGE(""https://docs.google.com/spreadsheets/d/1MeEWN-I1oV_STSDYn1IFDPWt_1FKiwhDph83XaGc0o0/edit?usp=sharing"",""งบพรบ!BQ79"")"),0)</f>
        <v>0</v>
      </c>
      <c r="N140" s="93">
        <f ca="1">IFERROR(__xludf.DUMMYFUNCTION("IMPORTRANGE(""https://docs.google.com/spreadsheets/d/1MeEWN-I1oV_STSDYn1IFDPWt_1FKiwhDph83XaGc0o0/edit?usp=sharing"",""งบพรบ!BS79"")"),0)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IFERROR(__xludf.DUMMYFUNCTION("IMPORTRANGE(""https://docs.google.com/spreadsheets/d/1QqKyyYR6Q21VydFLVH3TRQUabQu_ym0Zz7PgGX0-kHA/edit?usp=sharing"",""แผน!U79"")"),0)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IFERROR(__xludf.DUMMYFUNCTION("IMPORTRANGE(""https://docs.google.com/spreadsheets/d/1QqKyyYR6Q21VydFLVH3TRQUabQu_ym0Zz7PgGX0-kHA/edit?usp=sharing"",""แผน!V79"")"),0)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IFERROR(__xludf.DUMMYFUNCTION("IMPORTRANGE(""https://docs.google.com/spreadsheets/d/1QqKyyYR6Q21VydFLVH3TRQUabQu_ym0Zz7PgGX0-kHA/edit?usp=sharing"",""แผน!W79"")"),0)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IFERROR(__xludf.DUMMYFUNCTION("IMPORTRANGE(""https://docs.google.com/spreadsheets/d/1MeEWN-I1oV_STSDYn1IFDPWt_1FKiwhDph83XaGc0o0/edit?usp=sharing"",""งบพรบ!BU79"")"),0)</f>
        <v>0</v>
      </c>
      <c r="M154" s="93">
        <f ca="1">IFERROR(__xludf.DUMMYFUNCTION("IMPORTRANGE(""https://docs.google.com/spreadsheets/d/1MeEWN-I1oV_STSDYn1IFDPWt_1FKiwhDph83XaGc0o0/edit?usp=sharing"",""งบพรบ!BZ79"")"),0)</f>
        <v>0</v>
      </c>
      <c r="N154" s="93">
        <f ca="1">IFERROR(__xludf.DUMMYFUNCTION("IMPORTRANGE(""https://docs.google.com/spreadsheets/d/1MeEWN-I1oV_STSDYn1IFDPWt_1FKiwhDph83XaGc0o0/edit?usp=sharing"",""งบพรบ!CB79"")"),0)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IFERROR(__xludf.DUMMYFUNCTION("IMPORTRANGE(""https://docs.google.com/spreadsheets/d/1MeEWN-I1oV_STSDYn1IFDPWt_1FKiwhDph83XaGc0o0/edit?usp=sharing"",""งบพรบ!BX79"")"),0)</f>
        <v>0</v>
      </c>
      <c r="M157" s="93">
        <f ca="1">IFERROR(__xludf.DUMMYFUNCTION("IMPORTRANGE(""https://docs.google.com/spreadsheets/d/1MeEWN-I1oV_STSDYn1IFDPWt_1FKiwhDph83XaGc0o0/edit?usp=sharing"",""งบพรบ!CA79"")"),0)</f>
        <v>0</v>
      </c>
      <c r="N157" s="93">
        <f ca="1">IFERROR(__xludf.DUMMYFUNCTION("IMPORTRANGE(""https://docs.google.com/spreadsheets/d/1MeEWN-I1oV_STSDYn1IFDPWt_1FKiwhDph83XaGc0o0/edit?usp=sharing"",""งบพรบ!CC79"")"),0)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IFERROR(__xludf.DUMMYFUNCTION("IMPORTRANGE(""https://docs.google.com/spreadsheets/d/1QqKyyYR6Q21VydFLVH3TRQUabQu_ym0Zz7PgGX0-kHA/edit?usp=sharing"",""แผน!X79"")"),0)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47740</v>
      </c>
      <c r="N165" s="155">
        <f t="shared" ca="1" si="84"/>
        <v>47740</v>
      </c>
      <c r="O165" s="155">
        <f t="shared" ref="O165:O173" ca="1" si="85">IF(L165&gt;0,N165*100/L165,0)</f>
        <v>226.79334916864607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47740</v>
      </c>
      <c r="N167" s="93">
        <f t="shared" ca="1" si="87"/>
        <v>47740</v>
      </c>
      <c r="O167" s="93">
        <f t="shared" ca="1" si="85"/>
        <v>226.79334916864607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47740</v>
      </c>
      <c r="N168" s="498">
        <f t="shared" ca="1" si="88"/>
        <v>47740</v>
      </c>
      <c r="O168" s="498">
        <f t="shared" ca="1" si="85"/>
        <v>226.79334916864607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IFERROR(__xludf.DUMMYFUNCTION("IMPORTRANGE(""https://docs.google.com/spreadsheets/d/1MeEWN-I1oV_STSDYn1IFDPWt_1FKiwhDph83XaGc0o0/edit?usp=sharing"",""งบพรบ!CE79"")"),21050)</f>
        <v>21050</v>
      </c>
      <c r="M170" s="93">
        <f ca="1">IFERROR(__xludf.DUMMYFUNCTION("IMPORTRANGE(""https://docs.google.com/spreadsheets/d/1MeEWN-I1oV_STSDYn1IFDPWt_1FKiwhDph83XaGc0o0/edit?usp=sharing"",""งบพรบ!CJ79"")"),47740)</f>
        <v>47740</v>
      </c>
      <c r="N170" s="93">
        <f ca="1">IFERROR(__xludf.DUMMYFUNCTION("IMPORTRANGE(""https://docs.google.com/spreadsheets/d/1MeEWN-I1oV_STSDYn1IFDPWt_1FKiwhDph83XaGc0o0/edit?usp=sharing"",""งบพรบ!CL79"")"),47740)</f>
        <v>47740</v>
      </c>
      <c r="O170" s="93">
        <f t="shared" ca="1" si="85"/>
        <v>226.79334916864607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IFERROR(__xludf.DUMMYFUNCTION("IMPORTRANGE(""https://docs.google.com/spreadsheets/d/1MeEWN-I1oV_STSDYn1IFDPWt_1FKiwhDph83XaGc0o0/edit?usp=sharing"",""งบพรบ!CH79"")"),0)</f>
        <v>0</v>
      </c>
      <c r="M173" s="93">
        <f ca="1">IFERROR(__xludf.DUMMYFUNCTION("IMPORTRANGE(""https://docs.google.com/spreadsheets/d/1MeEWN-I1oV_STSDYn1IFDPWt_1FKiwhDph83XaGc0o0/edit?usp=sharing"",""งบพรบ!CK79"")"),0)</f>
        <v>0</v>
      </c>
      <c r="N173" s="93">
        <f ca="1">IFERROR(__xludf.DUMMYFUNCTION("IMPORTRANGE(""https://docs.google.com/spreadsheets/d/1MeEWN-I1oV_STSDYn1IFDPWt_1FKiwhDph83XaGc0o0/edit?usp=sharing"",""งบพรบ!CM79"")"),0)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281000</v>
      </c>
      <c r="M181" s="155">
        <f t="shared" ca="1" si="92"/>
        <v>281000</v>
      </c>
      <c r="N181" s="155">
        <f t="shared" ca="1" si="92"/>
        <v>200196.79</v>
      </c>
      <c r="O181" s="155">
        <f t="shared" ref="O181:O189" ca="1" si="93">IF(L181&gt;0,N181*100/L181,0)</f>
        <v>71.244409252669044</v>
      </c>
      <c r="P181" s="155">
        <f t="shared" ref="P181:P189" ca="1" si="94">IF(M181&gt;0,N181*100/M181,0)</f>
        <v>71.244409252669044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281000</v>
      </c>
      <c r="M183" s="93">
        <f t="shared" ca="1" si="95"/>
        <v>281000</v>
      </c>
      <c r="N183" s="93">
        <f t="shared" ca="1" si="95"/>
        <v>200196.79</v>
      </c>
      <c r="O183" s="93">
        <f t="shared" ca="1" si="93"/>
        <v>71.244409252669044</v>
      </c>
      <c r="P183" s="93">
        <f t="shared" ca="1" si="94"/>
        <v>71.244409252669044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281000</v>
      </c>
      <c r="M184" s="498">
        <f t="shared" ca="1" si="96"/>
        <v>281000</v>
      </c>
      <c r="N184" s="498">
        <f t="shared" ca="1" si="96"/>
        <v>200196.79</v>
      </c>
      <c r="O184" s="498">
        <f t="shared" ca="1" si="93"/>
        <v>71.244409252669044</v>
      </c>
      <c r="P184" s="498">
        <f t="shared" ca="1" si="94"/>
        <v>71.244409252669044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IFERROR(__xludf.DUMMYFUNCTION("IMPORTRANGE(""https://docs.google.com/spreadsheets/d/1MeEWN-I1oV_STSDYn1IFDPWt_1FKiwhDph83XaGc0o0/edit?usp=sharing"",""งบพรบ!CO79"")"),281000)</f>
        <v>281000</v>
      </c>
      <c r="M186" s="93">
        <f ca="1">IFERROR(__xludf.DUMMYFUNCTION("IMPORTRANGE(""https://docs.google.com/spreadsheets/d/1MeEWN-I1oV_STSDYn1IFDPWt_1FKiwhDph83XaGc0o0/edit?usp=sharing"",""งบพรบ!CT79"")"),281000)</f>
        <v>281000</v>
      </c>
      <c r="N186" s="93">
        <f ca="1">IFERROR(__xludf.DUMMYFUNCTION("IMPORTRANGE(""https://docs.google.com/spreadsheets/d/1MeEWN-I1oV_STSDYn1IFDPWt_1FKiwhDph83XaGc0o0/edit?usp=sharing"",""งบพรบ!CV79"")"),200196.79)</f>
        <v>200196.79</v>
      </c>
      <c r="O186" s="93">
        <f t="shared" ca="1" si="93"/>
        <v>71.244409252669044</v>
      </c>
      <c r="P186" s="93">
        <f t="shared" ca="1" si="94"/>
        <v>71.244409252669044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IFERROR(__xludf.DUMMYFUNCTION("IMPORTRANGE(""https://docs.google.com/spreadsheets/d/1MeEWN-I1oV_STSDYn1IFDPWt_1FKiwhDph83XaGc0o0/edit?usp=sharing"",""งบพรบ!CR79"")"),0)</f>
        <v>0</v>
      </c>
      <c r="M189" s="93">
        <f ca="1">IFERROR(__xludf.DUMMYFUNCTION("IMPORTRANGE(""https://docs.google.com/spreadsheets/d/1MeEWN-I1oV_STSDYn1IFDPWt_1FKiwhDph83XaGc0o0/edit?usp=sharing"",""งบพรบ!CU79"")"),0)</f>
        <v>0</v>
      </c>
      <c r="N189" s="93">
        <f ca="1">IFERROR(__xludf.DUMMYFUNCTION("IMPORTRANGE(""https://docs.google.com/spreadsheets/d/1MeEWN-I1oV_STSDYn1IFDPWt_1FKiwhDph83XaGc0o0/edit?usp=sharing"",""งบพรบ!CW79"")"),0)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IFERROR(__xludf.DUMMYFUNCTION("IMPORTRANGE(""https://docs.google.com/spreadsheets/d/1QqKyyYR6Q21VydFLVH3TRQUabQu_ym0Zz7PgGX0-kHA/edit?usp=sharing"",""แผน!Z79"")"),6000)</f>
        <v>6000</v>
      </c>
      <c r="M191" s="155"/>
      <c r="N191" s="276">
        <f>[1]ผลการเบิกจ่ายเงินงบประมาณ!G28</f>
        <v>5400</v>
      </c>
      <c r="O191" s="155">
        <f ca="1">IF(L191&gt;0,N191*100/L191,0)</f>
        <v>90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IFERROR(__xludf.DUMMYFUNCTION("IMPORTRANGE(""https://docs.google.com/spreadsheets/d/1QqKyyYR6Q21VydFLVH3TRQUabQu_ym0Zz7PgGX0-kHA/edit?usp=sharing"",""แผน!AC79"")"),4)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195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195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IFERROR(__xludf.DUMMYFUNCTION("IMPORTRANGE(""https://docs.google.com/spreadsheets/d/1QqKyyYR6Q21VydFLVH3TRQUabQu_ym0Zz7PgGX0-kHA/edit?usp=sharing"",""แผน!AE79"")"),0)</f>
        <v>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IFERROR(__xludf.DUMMYFUNCTION("IMPORTRANGE(""https://docs.google.com/spreadsheets/d/1QqKyyYR6Q21VydFLVH3TRQUabQu_ym0Zz7PgGX0-kHA/edit?usp=sharing"",""แผน!AF79"")"),0)</f>
        <v>0</v>
      </c>
      <c r="M200" s="498"/>
      <c r="N200" s="826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IFERROR(__xludf.DUMMYFUNCTION("IMPORTRANGE(""https://docs.google.com/spreadsheets/d/1QqKyyYR6Q21VydFLVH3TRQUabQu_ym0Zz7PgGX0-kHA/edit?usp=sharing"",""แผน!AG79"")"),0)</f>
        <v>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IFERROR(__xludf.DUMMYFUNCTION("IMPORTRANGE(""https://docs.google.com/spreadsheets/d/1QqKyyYR6Q21VydFLVH3TRQUabQu_ym0Zz7PgGX0-kHA/edit?usp=sharing"",""แผน!AH79"")"),0)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IFERROR(__xludf.DUMMYFUNCTION("IMPORTRANGE(""https://docs.google.com/spreadsheets/d/1QqKyyYR6Q21VydFLVH3TRQUabQu_ym0Zz7PgGX0-kHA/edit?usp=sharing"",""แผน!AI79"")"),0)</f>
        <v>0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/>
      <c r="J206" s="215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/>
      <c r="J207" s="215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IFERROR(__xludf.DUMMYFUNCTION("IMPORTRANGE(""https://docs.google.com/spreadsheets/d/1QqKyyYR6Q21VydFLVH3TRQUabQu_ym0Zz7PgGX0-kHA/edit?usp=sharing"",""แผน!AK79"")"),0)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IFERROR(__xludf.DUMMYFUNCTION("IMPORTRANGE(""https://docs.google.com/spreadsheets/d/1QqKyyYR6Q21VydFLVH3TRQUabQu_ym0Zz7PgGX0-kHA/edit?usp=sharing"",""แผน!AL79"")"),0)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IFERROR(__xludf.DUMMYFUNCTION("IMPORTRANGE(""https://docs.google.com/spreadsheets/d/1QqKyyYR6Q21VydFLVH3TRQUabQu_ym0Zz7PgGX0-kHA/edit?usp=sharing"",""แผน!AM79"")"),0)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IFERROR(__xludf.DUMMYFUNCTION("IMPORTRANGE(""https://docs.google.com/spreadsheets/d/1QqKyyYR6Q21VydFLVH3TRQUabQu_ym0Zz7PgGX0-kHA/edit?usp=sharing"",""แผน!AN79"")"),0)</f>
        <v>0</v>
      </c>
      <c r="J214" s="215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IFERROR(__xludf.DUMMYFUNCTION("IMPORTRANGE(""https://docs.google.com/spreadsheets/d/1QqKyyYR6Q21VydFLVH3TRQUabQu_ym0Zz7PgGX0-kHA/edit?usp=sharing"",""แผน!AN79"")"),0)</f>
        <v>0</v>
      </c>
      <c r="J215" s="215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2">I224</f>
        <v>10000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IFERROR(__xludf.DUMMYFUNCTION("IMPORTRANGE(""https://docs.google.com/spreadsheets/d/1QqKyyYR6Q21VydFLVH3TRQUabQu_ym0Zz7PgGX0-kHA/edit?usp=sharing"",""แผน!AP79"")"),3000)</f>
        <v>3000</v>
      </c>
      <c r="M218" s="498"/>
      <c r="N218" s="826">
        <f>[1]ผลการเบิกจ่ายเงินงบประมาณ!G30</f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IFERROR(__xludf.DUMMYFUNCTION("IMPORTRANGE(""https://docs.google.com/spreadsheets/d/1QqKyyYR6Q21VydFLVH3TRQUabQu_ym0Zz7PgGX0-kHA/edit?usp=sharing"",""แผน!AQ79"")"),3500)</f>
        <v>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IFERROR(__xludf.DUMMYFUNCTION("IMPORTRANGE(""https://docs.google.com/spreadsheets/d/1QqKyyYR6Q21VydFLVH3TRQUabQu_ym0Zz7PgGX0-kHA/edit?usp=sharing"",""แผน!AR79"")"),0)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IFERROR(__xludf.DUMMYFUNCTION("IMPORTRANGE(""https://docs.google.com/spreadsheets/d/1QqKyyYR6Q21VydFLVH3TRQUabQu_ym0Zz7PgGX0-kHA/edit?usp=sharing"",""แผน!AT79"")"),10000)</f>
        <v>10000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IFERROR(__xludf.DUMMYFUNCTION("IMPORTRANGE(""https://docs.google.com/spreadsheets/d/1QqKyyYR6Q21VydFLVH3TRQUabQu_ym0Zz7PgGX0-kHA/edit?usp=sharing"",""แผน!AT79"")"),10000)</f>
        <v>10000</v>
      </c>
      <c r="J224" s="215">
        <v>0</v>
      </c>
      <c r="K224" s="163">
        <f t="shared" ca="1" si="103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IFERROR(__xludf.DUMMYFUNCTION("IMPORTRANGE(""https://docs.google.com/spreadsheets/d/1QqKyyYR6Q21VydFLVH3TRQUabQu_ym0Zz7PgGX0-kHA/edit?usp=sharing"",""แผน!AS79"")"),0)</f>
        <v>0</v>
      </c>
      <c r="J225" s="215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7">I244+I255</f>
        <v>0</v>
      </c>
      <c r="J233" s="616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8">I246+I257</f>
        <v>0</v>
      </c>
      <c r="J235" s="616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8"/>
        <v>0</v>
      </c>
      <c r="J236" s="616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93"/>
      <c r="B237" s="294"/>
      <c r="C237" s="295" t="s">
        <v>331</v>
      </c>
      <c r="D237" s="296"/>
      <c r="E237" s="296"/>
      <c r="F237" s="296"/>
      <c r="G237" s="297"/>
      <c r="H237" s="298" t="s">
        <v>35</v>
      </c>
      <c r="I237" s="299">
        <f t="shared" ref="I237:J237" ca="1" si="110">I244</f>
        <v>0</v>
      </c>
      <c r="J237" s="299">
        <f t="shared" si="110"/>
        <v>0</v>
      </c>
      <c r="K237" s="300">
        <f t="shared" ca="1" si="109"/>
        <v>0</v>
      </c>
      <c r="L237" s="301"/>
      <c r="M237" s="301"/>
      <c r="N237" s="301"/>
      <c r="O237" s="301"/>
      <c r="P237" s="301"/>
      <c r="Q237" s="302"/>
      <c r="R237" s="302"/>
      <c r="S237" s="302"/>
      <c r="T237" s="302"/>
      <c r="U237" s="302"/>
      <c r="V237" s="302"/>
      <c r="W237" s="302"/>
      <c r="X237" s="302"/>
      <c r="Y237" s="302"/>
      <c r="Z237" s="302"/>
    </row>
    <row r="238" spans="1:26" ht="19.5" hidden="1">
      <c r="A238" s="303"/>
      <c r="B238" s="304"/>
      <c r="C238" s="305" t="s">
        <v>16</v>
      </c>
      <c r="D238" s="306" t="s">
        <v>17</v>
      </c>
      <c r="E238" s="304"/>
      <c r="F238" s="304"/>
      <c r="G238" s="307"/>
      <c r="H238" s="308" t="s">
        <v>12</v>
      </c>
      <c r="I238" s="309"/>
      <c r="J238" s="309"/>
      <c r="K238" s="310"/>
      <c r="L238" s="311">
        <f ca="1">L239+L240+L241+L242</f>
        <v>0</v>
      </c>
      <c r="M238" s="311"/>
      <c r="N238" s="311">
        <f>N239+N240+N241+N242</f>
        <v>0</v>
      </c>
      <c r="O238" s="311">
        <f ca="1">IF(L238&gt;0,N238*100/L238,0)</f>
        <v>0</v>
      </c>
      <c r="P238" s="311">
        <f>IF(M238&gt;0,N238*100/M238,0)</f>
        <v>0</v>
      </c>
      <c r="Q238" s="313"/>
      <c r="R238" s="313"/>
      <c r="S238" s="313"/>
      <c r="T238" s="313"/>
      <c r="U238" s="313"/>
      <c r="V238" s="313"/>
      <c r="W238" s="313"/>
      <c r="X238" s="313"/>
      <c r="Y238" s="313"/>
      <c r="Z238" s="31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IFERROR(__xludf.DUMMYFUNCTION("IMPORTRANGE(""https://docs.google.com/spreadsheets/d/1QqKyyYR6Q21VydFLVH3TRQUabQu_ym0Zz7PgGX0-kHA/edit?usp=sharing"",""แผน!AV79"")"),0)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IFERROR(__xludf.DUMMYFUNCTION("IMPORTRANGE(""https://docs.google.com/spreadsheets/d/1QqKyyYR6Q21VydFLVH3TRQUabQu_ym0Zz7PgGX0-kHA/edit?usp=sharing"",""แผน!AW79"")"),0)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IFERROR(__xludf.DUMMYFUNCTION("IMPORTRANGE(""https://docs.google.com/spreadsheets/d/1QqKyyYR6Q21VydFLVH3TRQUabQu_ym0Zz7PgGX0-kHA/edit?usp=sharing"",""แผน!AX79"")"),0)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IFERROR(__xludf.DUMMYFUNCTION("IMPORTRANGE(""https://docs.google.com/spreadsheets/d/1QqKyyYR6Q21VydFLVH3TRQUabQu_ym0Zz7PgGX0-kHA/edit?usp=sharing"",""แผน!AY79"")"),0)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328"/>
      <c r="B243" s="329"/>
      <c r="C243" s="324" t="s">
        <v>16</v>
      </c>
      <c r="D243" s="895" t="s">
        <v>38</v>
      </c>
      <c r="E243" s="331"/>
      <c r="F243" s="331"/>
      <c r="G243" s="332"/>
      <c r="H243" s="333"/>
      <c r="I243" s="320"/>
      <c r="J243" s="326"/>
      <c r="K243" s="322"/>
      <c r="L243" s="322"/>
      <c r="M243" s="322"/>
      <c r="N243" s="322"/>
      <c r="O243" s="321"/>
      <c r="P243" s="321"/>
      <c r="Q243" s="313"/>
      <c r="R243" s="313"/>
      <c r="S243" s="313"/>
      <c r="T243" s="313"/>
      <c r="U243" s="313"/>
      <c r="V243" s="313"/>
      <c r="W243" s="313"/>
      <c r="X243" s="313"/>
      <c r="Y243" s="313"/>
      <c r="Z243" s="313"/>
    </row>
    <row r="244" spans="1:26" ht="18.75" hidden="1">
      <c r="A244" s="328"/>
      <c r="B244" s="329"/>
      <c r="C244" s="329"/>
      <c r="D244" s="334" t="s">
        <v>117</v>
      </c>
      <c r="E244" s="335"/>
      <c r="F244" s="335"/>
      <c r="G244" s="336"/>
      <c r="H244" s="337" t="s">
        <v>35</v>
      </c>
      <c r="I244" s="326">
        <f ca="1">IFERROR(__xludf.DUMMYFUNCTION("IMPORTRANGE(""https://docs.google.com/spreadsheets/d/1QqKyyYR6Q21VydFLVH3TRQUabQu_ym0Zz7PgGX0-kHA/edit?usp=sharing"",""แผน!BE79"")"),0)</f>
        <v>0</v>
      </c>
      <c r="J244" s="896">
        <v>0</v>
      </c>
      <c r="K244" s="322">
        <f ca="1">IF(I244&gt;0,J244*100/I244,0)</f>
        <v>0</v>
      </c>
      <c r="L244" s="322"/>
      <c r="M244" s="322"/>
      <c r="N244" s="322"/>
      <c r="O244" s="322"/>
      <c r="P244" s="322"/>
      <c r="Q244" s="313"/>
      <c r="R244" s="313"/>
      <c r="S244" s="313"/>
      <c r="T244" s="313"/>
      <c r="U244" s="313"/>
      <c r="V244" s="313"/>
      <c r="W244" s="313"/>
      <c r="X244" s="313"/>
      <c r="Y244" s="313"/>
      <c r="Z244" s="313"/>
    </row>
    <row r="245" spans="1:26" ht="18.75" hidden="1">
      <c r="A245" s="328"/>
      <c r="B245" s="329"/>
      <c r="C245" s="329"/>
      <c r="D245" s="338" t="s">
        <v>43</v>
      </c>
      <c r="E245" s="335"/>
      <c r="F245" s="335"/>
      <c r="G245" s="336"/>
      <c r="H245" s="337"/>
      <c r="I245" s="326"/>
      <c r="J245" s="326"/>
      <c r="K245" s="322"/>
      <c r="L245" s="322"/>
      <c r="M245" s="322"/>
      <c r="N245" s="322"/>
      <c r="O245" s="321"/>
      <c r="P245" s="321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</row>
    <row r="246" spans="1:26" ht="18.75" hidden="1">
      <c r="A246" s="328"/>
      <c r="B246" s="329"/>
      <c r="C246" s="329"/>
      <c r="D246" s="329"/>
      <c r="E246" s="339" t="s">
        <v>118</v>
      </c>
      <c r="F246" s="335"/>
      <c r="G246" s="336"/>
      <c r="H246" s="337" t="s">
        <v>35</v>
      </c>
      <c r="I246" s="326"/>
      <c r="J246" s="896">
        <v>0</v>
      </c>
      <c r="K246" s="322">
        <f t="shared" ref="K246:K248" si="111">IF(I246&gt;0,J246*100/I246,0)</f>
        <v>0</v>
      </c>
      <c r="L246" s="322"/>
      <c r="M246" s="322"/>
      <c r="N246" s="322"/>
      <c r="O246" s="322"/>
      <c r="P246" s="322"/>
      <c r="Q246" s="313"/>
      <c r="R246" s="313"/>
      <c r="S246" s="313"/>
      <c r="T246" s="313"/>
      <c r="U246" s="313"/>
      <c r="V246" s="313"/>
      <c r="W246" s="313"/>
      <c r="X246" s="313"/>
      <c r="Y246" s="313"/>
      <c r="Z246" s="313"/>
    </row>
    <row r="247" spans="1:26" ht="18.75" hidden="1">
      <c r="A247" s="328"/>
      <c r="B247" s="329"/>
      <c r="C247" s="329"/>
      <c r="D247" s="329"/>
      <c r="E247" s="339" t="s">
        <v>119</v>
      </c>
      <c r="F247" s="335"/>
      <c r="G247" s="336"/>
      <c r="H247" s="337" t="s">
        <v>66</v>
      </c>
      <c r="I247" s="326"/>
      <c r="J247" s="896">
        <v>0</v>
      </c>
      <c r="K247" s="322">
        <f t="shared" si="111"/>
        <v>0</v>
      </c>
      <c r="L247" s="322"/>
      <c r="M247" s="322"/>
      <c r="N247" s="322"/>
      <c r="O247" s="322"/>
      <c r="P247" s="322"/>
      <c r="Q247" s="313"/>
      <c r="R247" s="313"/>
      <c r="S247" s="313"/>
      <c r="T247" s="313"/>
      <c r="U247" s="313"/>
      <c r="V247" s="313"/>
      <c r="W247" s="313"/>
      <c r="X247" s="313"/>
      <c r="Y247" s="313"/>
      <c r="Z247" s="313"/>
    </row>
    <row r="248" spans="1:26" ht="19.5" hidden="1">
      <c r="A248" s="293"/>
      <c r="B248" s="294"/>
      <c r="C248" s="295" t="s">
        <v>332</v>
      </c>
      <c r="D248" s="296"/>
      <c r="E248" s="296"/>
      <c r="F248" s="296"/>
      <c r="G248" s="297"/>
      <c r="H248" s="298" t="s">
        <v>35</v>
      </c>
      <c r="I248" s="299">
        <f t="shared" ref="I248:J248" ca="1" si="112">I255</f>
        <v>0</v>
      </c>
      <c r="J248" s="299">
        <f t="shared" si="112"/>
        <v>0</v>
      </c>
      <c r="K248" s="300">
        <f t="shared" ca="1" si="111"/>
        <v>0</v>
      </c>
      <c r="L248" s="301"/>
      <c r="M248" s="301"/>
      <c r="N248" s="301"/>
      <c r="O248" s="301"/>
      <c r="P248" s="301"/>
      <c r="Q248" s="302"/>
      <c r="R248" s="302"/>
      <c r="S248" s="302"/>
      <c r="T248" s="302"/>
      <c r="U248" s="302"/>
      <c r="V248" s="302"/>
      <c r="W248" s="302"/>
      <c r="X248" s="302"/>
      <c r="Y248" s="302"/>
      <c r="Z248" s="302"/>
    </row>
    <row r="249" spans="1:26" ht="19.5" hidden="1">
      <c r="A249" s="303"/>
      <c r="B249" s="304"/>
      <c r="C249" s="305" t="s">
        <v>16</v>
      </c>
      <c r="D249" s="897" t="s">
        <v>17</v>
      </c>
      <c r="E249" s="304"/>
      <c r="F249" s="304"/>
      <c r="G249" s="307"/>
      <c r="H249" s="308" t="s">
        <v>12</v>
      </c>
      <c r="I249" s="309"/>
      <c r="J249" s="309"/>
      <c r="K249" s="310"/>
      <c r="L249" s="311">
        <f ca="1">L250+L251+L252+L253</f>
        <v>0</v>
      </c>
      <c r="M249" s="311"/>
      <c r="N249" s="311">
        <f>N250+N251+N252+N253</f>
        <v>0</v>
      </c>
      <c r="O249" s="311">
        <f ca="1">IF(L249&gt;0,N249*100/L249,0)</f>
        <v>0</v>
      </c>
      <c r="P249" s="311">
        <f>IF(M249&gt;0,N249*100/M249,0)</f>
        <v>0</v>
      </c>
      <c r="Q249" s="313"/>
      <c r="R249" s="313"/>
      <c r="S249" s="313"/>
      <c r="T249" s="313"/>
      <c r="U249" s="313"/>
      <c r="V249" s="313"/>
      <c r="W249" s="313"/>
      <c r="X249" s="313"/>
      <c r="Y249" s="313"/>
      <c r="Z249" s="31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IFERROR(__xludf.DUMMYFUNCTION("IMPORTRANGE(""https://docs.google.com/spreadsheets/d/1QqKyyYR6Q21VydFLVH3TRQUabQu_ym0Zz7PgGX0-kHA/edit?usp=sharing"",""แผน!AZ79"")"),0)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IFERROR(__xludf.DUMMYFUNCTION("IMPORTRANGE(""https://docs.google.com/spreadsheets/d/1QqKyyYR6Q21VydFLVH3TRQUabQu_ym0Zz7PgGX0-kHA/edit?usp=sharing"",""แผน!BA79"")"),0)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IFERROR(__xludf.DUMMYFUNCTION("IMPORTRANGE(""https://docs.google.com/spreadsheets/d/1QqKyyYR6Q21VydFLVH3TRQUabQu_ym0Zz7PgGX0-kHA/edit?usp=sharing"",""แผน!BB79"")"),0)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IFERROR(__xludf.DUMMYFUNCTION("IMPORTRANGE(""https://docs.google.com/spreadsheets/d/1QqKyyYR6Q21VydFLVH3TRQUabQu_ym0Zz7PgGX0-kHA/edit?usp=sharing"",""แผน!BC79"")"),0)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328"/>
      <c r="B254" s="329"/>
      <c r="C254" s="324" t="s">
        <v>16</v>
      </c>
      <c r="D254" s="895" t="s">
        <v>38</v>
      </c>
      <c r="E254" s="331"/>
      <c r="F254" s="331"/>
      <c r="G254" s="332"/>
      <c r="H254" s="333"/>
      <c r="I254" s="320"/>
      <c r="J254" s="326"/>
      <c r="K254" s="322"/>
      <c r="L254" s="322"/>
      <c r="M254" s="322"/>
      <c r="N254" s="322"/>
      <c r="O254" s="321"/>
      <c r="P254" s="321"/>
      <c r="Q254" s="313"/>
      <c r="R254" s="313"/>
      <c r="S254" s="313"/>
      <c r="T254" s="313"/>
      <c r="U254" s="313"/>
      <c r="V254" s="313"/>
      <c r="W254" s="313"/>
      <c r="X254" s="313"/>
      <c r="Y254" s="313"/>
      <c r="Z254" s="313"/>
    </row>
    <row r="255" spans="1:26" ht="18.75" hidden="1">
      <c r="A255" s="328"/>
      <c r="B255" s="329"/>
      <c r="C255" s="329"/>
      <c r="D255" s="334" t="s">
        <v>117</v>
      </c>
      <c r="E255" s="335"/>
      <c r="F255" s="335"/>
      <c r="G255" s="336"/>
      <c r="H255" s="337" t="s">
        <v>35</v>
      </c>
      <c r="I255" s="326">
        <f ca="1">IFERROR(__xludf.DUMMYFUNCTION("IMPORTRANGE(""https://docs.google.com/spreadsheets/d/1QqKyyYR6Q21VydFLVH3TRQUabQu_ym0Zz7PgGX0-kHA/edit?usp=sharing"",""แผน!BF79"")"),0)</f>
        <v>0</v>
      </c>
      <c r="J255" s="896">
        <v>0</v>
      </c>
      <c r="K255" s="322">
        <f ca="1">IF(I255&gt;0,J255*100/I255,0)</f>
        <v>0</v>
      </c>
      <c r="L255" s="322"/>
      <c r="M255" s="322"/>
      <c r="N255" s="322"/>
      <c r="O255" s="322"/>
      <c r="P255" s="322"/>
      <c r="Q255" s="313"/>
      <c r="R255" s="313"/>
      <c r="S255" s="313"/>
      <c r="T255" s="313"/>
      <c r="U255" s="313"/>
      <c r="V255" s="313"/>
      <c r="W255" s="313"/>
      <c r="X255" s="313"/>
      <c r="Y255" s="313"/>
      <c r="Z255" s="313"/>
    </row>
    <row r="256" spans="1:26" ht="18.75" hidden="1">
      <c r="A256" s="328"/>
      <c r="B256" s="329"/>
      <c r="C256" s="329"/>
      <c r="D256" s="338" t="s">
        <v>43</v>
      </c>
      <c r="E256" s="335"/>
      <c r="F256" s="335"/>
      <c r="G256" s="336"/>
      <c r="H256" s="337"/>
      <c r="I256" s="326"/>
      <c r="J256" s="326"/>
      <c r="K256" s="322"/>
      <c r="L256" s="322"/>
      <c r="M256" s="322"/>
      <c r="N256" s="322"/>
      <c r="O256" s="321"/>
      <c r="P256" s="321"/>
      <c r="Q256" s="313"/>
      <c r="R256" s="313"/>
      <c r="S256" s="313"/>
      <c r="T256" s="313"/>
      <c r="U256" s="313"/>
      <c r="V256" s="313"/>
      <c r="W256" s="313"/>
      <c r="X256" s="313"/>
      <c r="Y256" s="313"/>
      <c r="Z256" s="313"/>
    </row>
    <row r="257" spans="1:26" ht="18.75" hidden="1">
      <c r="A257" s="328"/>
      <c r="B257" s="329"/>
      <c r="C257" s="329"/>
      <c r="D257" s="329"/>
      <c r="E257" s="339" t="s">
        <v>118</v>
      </c>
      <c r="F257" s="335"/>
      <c r="G257" s="336"/>
      <c r="H257" s="337" t="s">
        <v>35</v>
      </c>
      <c r="I257" s="326"/>
      <c r="J257" s="896">
        <v>0</v>
      </c>
      <c r="K257" s="322">
        <f t="shared" ref="K257:K258" si="113">IF(I257&gt;0,J257*100/I257,0)</f>
        <v>0</v>
      </c>
      <c r="L257" s="322"/>
      <c r="M257" s="322"/>
      <c r="N257" s="322"/>
      <c r="O257" s="322"/>
      <c r="P257" s="322"/>
      <c r="Q257" s="313"/>
      <c r="R257" s="313"/>
      <c r="S257" s="313"/>
      <c r="T257" s="313"/>
      <c r="U257" s="313"/>
      <c r="V257" s="313"/>
      <c r="W257" s="313"/>
      <c r="X257" s="313"/>
      <c r="Y257" s="313"/>
      <c r="Z257" s="313"/>
    </row>
    <row r="258" spans="1:26" ht="18.75" hidden="1">
      <c r="A258" s="328"/>
      <c r="B258" s="329"/>
      <c r="C258" s="329"/>
      <c r="D258" s="329"/>
      <c r="E258" s="339" t="s">
        <v>119</v>
      </c>
      <c r="F258" s="335"/>
      <c r="G258" s="336"/>
      <c r="H258" s="337" t="s">
        <v>66</v>
      </c>
      <c r="I258" s="326"/>
      <c r="J258" s="896">
        <v>0</v>
      </c>
      <c r="K258" s="322">
        <f t="shared" si="113"/>
        <v>0</v>
      </c>
      <c r="L258" s="322"/>
      <c r="M258" s="322"/>
      <c r="N258" s="322"/>
      <c r="O258" s="322"/>
      <c r="P258" s="322"/>
      <c r="Q258" s="313"/>
      <c r="R258" s="313"/>
      <c r="S258" s="313"/>
      <c r="T258" s="313"/>
      <c r="U258" s="313"/>
      <c r="V258" s="313"/>
      <c r="W258" s="313"/>
      <c r="X258" s="313"/>
      <c r="Y258" s="313"/>
      <c r="Z258" s="31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16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21200</v>
      </c>
      <c r="M261" s="155">
        <f t="shared" ca="1" si="115"/>
        <v>21200</v>
      </c>
      <c r="N261" s="155">
        <f t="shared" ca="1" si="115"/>
        <v>7000</v>
      </c>
      <c r="O261" s="155">
        <f t="shared" ref="O261:O269" ca="1" si="116">IF(L261&gt;0,N261*100/L261,0)</f>
        <v>33.018867924528301</v>
      </c>
      <c r="P261" s="155">
        <f t="shared" ref="P261:P269" ca="1" si="117">IF(M261&gt;0,N261*100/M261,0)</f>
        <v>33.018867924528301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8"/>
        <v>21200</v>
      </c>
      <c r="M263" s="93">
        <f t="shared" ca="1" si="118"/>
        <v>21200</v>
      </c>
      <c r="N263" s="93">
        <f t="shared" ca="1" si="118"/>
        <v>7000</v>
      </c>
      <c r="O263" s="93">
        <f t="shared" ca="1" si="116"/>
        <v>33.018867924528301</v>
      </c>
      <c r="P263" s="93">
        <f t="shared" ca="1" si="117"/>
        <v>33.018867924528301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21200</v>
      </c>
      <c r="M264" s="498">
        <f t="shared" ca="1" si="119"/>
        <v>21200</v>
      </c>
      <c r="N264" s="498">
        <f t="shared" ca="1" si="119"/>
        <v>7000</v>
      </c>
      <c r="O264" s="498">
        <f t="shared" ca="1" si="116"/>
        <v>33.018867924528301</v>
      </c>
      <c r="P264" s="498">
        <f t="shared" ca="1" si="117"/>
        <v>33.018867924528301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IFERROR(__xludf.DUMMYFUNCTION("IMPORTRANGE(""https://docs.google.com/spreadsheets/d/1MeEWN-I1oV_STSDYn1IFDPWt_1FKiwhDph83XaGc0o0/edit?usp=sharing"",""งบพรบ!CY79"")"),21200)</f>
        <v>21200</v>
      </c>
      <c r="M266" s="93">
        <f ca="1">IFERROR(__xludf.DUMMYFUNCTION("IMPORTRANGE(""https://docs.google.com/spreadsheets/d/1MeEWN-I1oV_STSDYn1IFDPWt_1FKiwhDph83XaGc0o0/edit?usp=sharing"",""งบพรบ!DD79"")"),21200)</f>
        <v>21200</v>
      </c>
      <c r="N266" s="93">
        <f ca="1">IFERROR(__xludf.DUMMYFUNCTION("IMPORTRANGE(""https://docs.google.com/spreadsheets/d/1MeEWN-I1oV_STSDYn1IFDPWt_1FKiwhDph83XaGc0o0/edit?usp=sharing"",""งบพรบ!DF79"")"),7000)</f>
        <v>7000</v>
      </c>
      <c r="O266" s="93">
        <f t="shared" ca="1" si="116"/>
        <v>33.018867924528301</v>
      </c>
      <c r="P266" s="93">
        <f t="shared" ca="1" si="117"/>
        <v>33.018867924528301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IFERROR(__xludf.DUMMYFUNCTION("IMPORTRANGE(""https://docs.google.com/spreadsheets/d/1MeEWN-I1oV_STSDYn1IFDPWt_1FKiwhDph83XaGc0o0/edit?usp=sharing"",""งบพรบ!DB79"")"),0)</f>
        <v>0</v>
      </c>
      <c r="M269" s="93">
        <f ca="1">IFERROR(__xludf.DUMMYFUNCTION("IMPORTRANGE(""https://docs.google.com/spreadsheets/d/1MeEWN-I1oV_STSDYn1IFDPWt_1FKiwhDph83XaGc0o0/edit?usp=sharing"",""งบพรบ!DE79"")"),0)</f>
        <v>0</v>
      </c>
      <c r="N269" s="93">
        <f ca="1">IFERROR(__xludf.DUMMYFUNCTION("IMPORTRANGE(""https://docs.google.com/spreadsheets/d/1MeEWN-I1oV_STSDYn1IFDPWt_1FKiwhDph83XaGc0o0/edit?usp=sharing"",""งบพรบ!DG79"")"),0)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IFERROR(__xludf.DUMMYFUNCTION("IMPORTRANGE(""https://docs.google.com/spreadsheets/d/1QqKyyYR6Q21VydFLVH3TRQUabQu_ym0Zz7PgGX0-kHA/edit?usp=sharing"",""แผน!EA79"")"),16)</f>
        <v>16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3">I287</f>
        <v>0</v>
      </c>
      <c r="J276" s="410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0</v>
      </c>
      <c r="M280" s="498">
        <f t="shared" ca="1" si="128"/>
        <v>0</v>
      </c>
      <c r="N280" s="498">
        <f t="shared" ca="1" si="128"/>
        <v>0</v>
      </c>
      <c r="O280" s="498">
        <f t="shared" ca="1" si="125"/>
        <v>0</v>
      </c>
      <c r="P280" s="49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IFERROR(__xludf.DUMMYFUNCTION("IMPORTRANGE(""https://docs.google.com/spreadsheets/d/1MeEWN-I1oV_STSDYn1IFDPWt_1FKiwhDph83XaGc0o0/edit?usp=sharing"",""งบพรบ!DI79"")"),0)</f>
        <v>0</v>
      </c>
      <c r="M282" s="93">
        <f ca="1">IFERROR(__xludf.DUMMYFUNCTION("IMPORTRANGE(""https://docs.google.com/spreadsheets/d/1MeEWN-I1oV_STSDYn1IFDPWt_1FKiwhDph83XaGc0o0/edit?usp=sharing"",""งบพรบ!DN79"")"),0)</f>
        <v>0</v>
      </c>
      <c r="N282" s="93">
        <f ca="1">IFERROR(__xludf.DUMMYFUNCTION("IMPORTRANGE(""https://docs.google.com/spreadsheets/d/1MeEWN-I1oV_STSDYn1IFDPWt_1FKiwhDph83XaGc0o0/edit?usp=sharing"",""งบพรบ!DP79"")"),0)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IFERROR(__xludf.DUMMYFUNCTION("IMPORTRANGE(""https://docs.google.com/spreadsheets/d/1MeEWN-I1oV_STSDYn1IFDPWt_1FKiwhDph83XaGc0o0/edit?usp=sharing"",""งบพรบ!DL79"")"),0)</f>
        <v>0</v>
      </c>
      <c r="M285" s="93">
        <f ca="1">IFERROR(__xludf.DUMMYFUNCTION("IMPORTRANGE(""https://docs.google.com/spreadsheets/d/1MeEWN-I1oV_STSDYn1IFDPWt_1FKiwhDph83XaGc0o0/edit?usp=sharing"",""งบพรบ!DO79"")"),0)</f>
        <v>0</v>
      </c>
      <c r="N285" s="93">
        <f ca="1">IFERROR(__xludf.DUMMYFUNCTION("IMPORTRANGE(""https://docs.google.com/spreadsheets/d/1MeEWN-I1oV_STSDYn1IFDPWt_1FKiwhDph83XaGc0o0/edit?usp=sharing"",""งบพรบ!DQ79"")"),0)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IFERROR(__xludf.DUMMYFUNCTION("IMPORTRANGE(""https://docs.google.com/spreadsheets/d/1QqKyyYR6Q21VydFLVH3TRQUabQu_ym0Zz7PgGX0-kHA/edit?usp=sharing"",""แผน!EC79"")"),0)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IFERROR(__xludf.DUMMYFUNCTION("IMPORTRANGE(""https://docs.google.com/spreadsheets/d/1QqKyyYR6Q21VydFLVH3TRQUabQu_ym0Zz7PgGX0-kHA/edit?usp=sharing"",""แผน!EB79"")"),0)</f>
        <v>0</v>
      </c>
      <c r="J288" s="680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IFERROR(__xludf.DUMMYFUNCTION("IMPORTRANGE(""https://docs.google.com/spreadsheets/d/1QqKyyYR6Q21VydFLVH3TRQUabQu_ym0Zz7PgGX0-kHA/edit?usp=sharing"",""แผน!EB79"")"),0)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IFERROR(__xludf.DUMMYFUNCTION("IMPORTRANGE(""https://docs.google.com/spreadsheets/d/1QqKyyYR6Q21VydFLVH3TRQUabQu_ym0Zz7PgGX0-kHA/edit?usp=sharing"",""แผน!EB79"")"),0)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IFERROR(__xludf.DUMMYFUNCTION("IMPORTRANGE(""https://docs.google.com/spreadsheets/d/1QqKyyYR6Q21VydFLVH3TRQUabQu_ym0Zz7PgGX0-kHA/edit?usp=sharing"",""แผน!EB79"")"),0)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IFERROR(__xludf.DUMMYFUNCTION("IMPORTRANGE(""https://docs.google.com/spreadsheets/d/1QqKyyYR6Q21VydFLVH3TRQUabQu_ym0Zz7PgGX0-kHA/edit?usp=sharing"",""แผน!EB79"")"),0)</f>
        <v>0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0</v>
      </c>
      <c r="M301" s="498">
        <f t="shared" ca="1" si="138"/>
        <v>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IFERROR(__xludf.DUMMYFUNCTION("IMPORTRANGE(""https://docs.google.com/spreadsheets/d/1MeEWN-I1oV_STSDYn1IFDPWt_1FKiwhDph83XaGc0o0/edit?usp=sharing"",""งบพรบ!DS79"")"),0)</f>
        <v>0</v>
      </c>
      <c r="M303" s="93">
        <f ca="1">IFERROR(__xludf.DUMMYFUNCTION("IMPORTRANGE(""https://docs.google.com/spreadsheets/d/1MeEWN-I1oV_STSDYn1IFDPWt_1FKiwhDph83XaGc0o0/edit?usp=sharing"",""งบพรบ!DX79"")"),0)</f>
        <v>0</v>
      </c>
      <c r="N303" s="93">
        <f ca="1">IFERROR(__xludf.DUMMYFUNCTION("IMPORTRANGE(""https://docs.google.com/spreadsheets/d/1MeEWN-I1oV_STSDYn1IFDPWt_1FKiwhDph83XaGc0o0/edit?usp=sharing"",""งบพรบ!DZ79"")"),0)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IFERROR(__xludf.DUMMYFUNCTION("IMPORTRANGE(""https://docs.google.com/spreadsheets/d/1MeEWN-I1oV_STSDYn1IFDPWt_1FKiwhDph83XaGc0o0/edit?usp=sharing"",""งบพรบ!DV79"")"),0)</f>
        <v>0</v>
      </c>
      <c r="M306" s="93">
        <f ca="1">IFERROR(__xludf.DUMMYFUNCTION("IMPORTRANGE(""https://docs.google.com/spreadsheets/d/1MeEWN-I1oV_STSDYn1IFDPWt_1FKiwhDph83XaGc0o0/edit?usp=sharing"",""งบพรบ!DY79"")"),0)</f>
        <v>0</v>
      </c>
      <c r="N306" s="93">
        <f ca="1">IFERROR(__xludf.DUMMYFUNCTION("IMPORTRANGE(""https://docs.google.com/spreadsheets/d/1MeEWN-I1oV_STSDYn1IFDPWt_1FKiwhDph83XaGc0o0/edit?usp=sharing"",""งบพรบ!EA79"")"),0)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IFERROR(__xludf.DUMMYFUNCTION("IMPORTRANGE(""https://docs.google.com/spreadsheets/d/1QqKyyYR6Q21VydFLVH3TRQUabQu_ym0Zz7PgGX0-kHA/edit?usp=sharing"",""แผน!ED79"")"),0)</f>
        <v>0</v>
      </c>
      <c r="J309" s="215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IFERROR(__xludf.DUMMYFUNCTION("IMPORTRANGE(""https://docs.google.com/spreadsheets/d/1QqKyyYR6Q21VydFLVH3TRQUabQu_ym0Zz7PgGX0-kHA/edit?usp=sharing"",""แผน!ED79"")"),0)</f>
        <v>0</v>
      </c>
      <c r="J310" s="215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IFERROR(__xludf.DUMMYFUNCTION("IMPORTRANGE(""https://docs.google.com/spreadsheets/d/1QqKyyYR6Q21VydFLVH3TRQUabQu_ym0Zz7PgGX0-kHA/edit?usp=sharing"",""แผน!ED79"")"),0)</f>
        <v>0</v>
      </c>
      <c r="J311" s="215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IFERROR(__xludf.DUMMYFUNCTION("IMPORTRANGE(""https://docs.google.com/spreadsheets/d/1QqKyyYR6Q21VydFLVH3TRQUabQu_ym0Zz7PgGX0-kHA/edit?usp=sharing"",""แผน!EE79"")"),0)</f>
        <v>0</v>
      </c>
      <c r="J312" s="215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0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0</v>
      </c>
      <c r="M318" s="498">
        <f t="shared" ca="1" si="146"/>
        <v>0</v>
      </c>
      <c r="N318" s="498">
        <f t="shared" ca="1" si="146"/>
        <v>0</v>
      </c>
      <c r="O318" s="498">
        <f t="shared" ca="1" si="143"/>
        <v>0</v>
      </c>
      <c r="P318" s="49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IFERROR(__xludf.DUMMYFUNCTION("IMPORTRANGE(""https://docs.google.com/spreadsheets/d/1MeEWN-I1oV_STSDYn1IFDPWt_1FKiwhDph83XaGc0o0/edit?usp=sharing"",""งบพรบ!EC79"")"),0)</f>
        <v>0</v>
      </c>
      <c r="M320" s="93">
        <f ca="1">IFERROR(__xludf.DUMMYFUNCTION("IMPORTRANGE(""https://docs.google.com/spreadsheets/d/1MeEWN-I1oV_STSDYn1IFDPWt_1FKiwhDph83XaGc0o0/edit?usp=sharing"",""งบพรบ!EH79"")"),0)</f>
        <v>0</v>
      </c>
      <c r="N320" s="93">
        <f ca="1">IFERROR(__xludf.DUMMYFUNCTION("IMPORTRANGE(""https://docs.google.com/spreadsheets/d/1MeEWN-I1oV_STSDYn1IFDPWt_1FKiwhDph83XaGc0o0/edit?usp=sharing"",""งบพรบ!EJ79"")"),0)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0</v>
      </c>
      <c r="M321" s="498">
        <f t="shared" ca="1" si="147"/>
        <v>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IFERROR(__xludf.DUMMYFUNCTION("IMPORTRANGE(""https://docs.google.com/spreadsheets/d/1MeEWN-I1oV_STSDYn1IFDPWt_1FKiwhDph83XaGc0o0/edit?usp=sharing"",""งบพรบ!EF79"")"),0)</f>
        <v>0</v>
      </c>
      <c r="M323" s="93">
        <f ca="1">IFERROR(__xludf.DUMMYFUNCTION("IMPORTRANGE(""https://docs.google.com/spreadsheets/d/1MeEWN-I1oV_STSDYn1IFDPWt_1FKiwhDph83XaGc0o0/edit?usp=sharing"",""งบพรบ!EI79"")"),0)</f>
        <v>0</v>
      </c>
      <c r="N323" s="93">
        <f ca="1">IFERROR(__xludf.DUMMYFUNCTION("IMPORTRANGE(""https://docs.google.com/spreadsheets/d/1MeEWN-I1oV_STSDYn1IFDPWt_1FKiwhDph83XaGc0o0/edit?usp=sharing"",""งบพรบ!EK79"")"),0)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IFERROR(__xludf.DUMMYFUNCTION("IMPORTRANGE(""https://docs.google.com/spreadsheets/d/1QqKyyYR6Q21VydFLVH3TRQUabQu_ym0Zz7PgGX0-kHA/edit?usp=sharing"",""แผน!EF79"")"),0)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IFERROR(__xludf.DUMMYFUNCTION("IMPORTRANGE(""https://docs.google.com/spreadsheets/d/1QqKyyYR6Q21VydFLVH3TRQUabQu_ym0Zz7PgGX0-kHA/edit?usp=sharing"",""แผน!EG79"")"),300)</f>
        <v>300</v>
      </c>
      <c r="J327" s="445">
        <f ca="1">J338+J341+J342+J343</f>
        <v>604</v>
      </c>
      <c r="K327" s="446">
        <f ca="1">IF(I327&gt;0,J327*100/I327,0)</f>
        <v>201.33333333333334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157000</v>
      </c>
      <c r="M328" s="155">
        <f t="shared" ca="1" si="148"/>
        <v>159500</v>
      </c>
      <c r="N328" s="155">
        <f t="shared" ca="1" si="148"/>
        <v>121928</v>
      </c>
      <c r="O328" s="155">
        <f t="shared" ref="O328:O336" ca="1" si="149">IF(L328&gt;0,N328*100/L328,0)</f>
        <v>77.661146496815292</v>
      </c>
      <c r="P328" s="155">
        <f t="shared" ref="P328:P336" ca="1" si="150">IF(M328&gt;0,N328*100/M328,0)</f>
        <v>76.443887147335417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1"/>
        <v>157000</v>
      </c>
      <c r="M330" s="93">
        <f t="shared" ca="1" si="151"/>
        <v>159500</v>
      </c>
      <c r="N330" s="93">
        <f t="shared" ca="1" si="151"/>
        <v>121928</v>
      </c>
      <c r="O330" s="93">
        <f t="shared" ca="1" si="149"/>
        <v>77.661146496815292</v>
      </c>
      <c r="P330" s="93">
        <f t="shared" ca="1" si="150"/>
        <v>76.443887147335417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157000</v>
      </c>
      <c r="M331" s="498">
        <f t="shared" ca="1" si="152"/>
        <v>159500</v>
      </c>
      <c r="N331" s="498">
        <f t="shared" ca="1" si="152"/>
        <v>121928</v>
      </c>
      <c r="O331" s="498">
        <f t="shared" ca="1" si="149"/>
        <v>77.661146496815292</v>
      </c>
      <c r="P331" s="498">
        <f t="shared" ca="1" si="150"/>
        <v>76.443887147335417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IFERROR(__xludf.DUMMYFUNCTION("IMPORTRANGE(""https://docs.google.com/spreadsheets/d/1MeEWN-I1oV_STSDYn1IFDPWt_1FKiwhDph83XaGc0o0/edit?usp=sharing"",""งบพรบ!EM79"")"),157000)</f>
        <v>157000</v>
      </c>
      <c r="M333" s="93">
        <f ca="1">IFERROR(__xludf.DUMMYFUNCTION("IMPORTRANGE(""https://docs.google.com/spreadsheets/d/1MeEWN-I1oV_STSDYn1IFDPWt_1FKiwhDph83XaGc0o0/edit?usp=sharing"",""งบพรบ!ER79"")"),159500)</f>
        <v>159500</v>
      </c>
      <c r="N333" s="93">
        <f ca="1">IFERROR(__xludf.DUMMYFUNCTION("IMPORTRANGE(""https://docs.google.com/spreadsheets/d/1MeEWN-I1oV_STSDYn1IFDPWt_1FKiwhDph83XaGc0o0/edit?usp=sharing"",""งบพรบ!ET79"")"),121928)</f>
        <v>121928</v>
      </c>
      <c r="O333" s="93">
        <f t="shared" ca="1" si="149"/>
        <v>77.661146496815292</v>
      </c>
      <c r="P333" s="93">
        <f t="shared" ca="1" si="150"/>
        <v>76.443887147335417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IFERROR(__xludf.DUMMYFUNCTION("IMPORTRANGE(""https://docs.google.com/spreadsheets/d/1MeEWN-I1oV_STSDYn1IFDPWt_1FKiwhDph83XaGc0o0/edit?usp=sharing"",""งบพรบ!EP79"")"),0)</f>
        <v>0</v>
      </c>
      <c r="M336" s="93">
        <f ca="1">IFERROR(__xludf.DUMMYFUNCTION("IMPORTRANGE(""https://docs.google.com/spreadsheets/d/1MeEWN-I1oV_STSDYn1IFDPWt_1FKiwhDph83XaGc0o0/edit?usp=sharing"",""งบพรบ!ES79"")"),0)</f>
        <v>0</v>
      </c>
      <c r="N336" s="93">
        <f ca="1">IFERROR(__xludf.DUMMYFUNCTION("IMPORTRANGE(""https://docs.google.com/spreadsheets/d/1MeEWN-I1oV_STSDYn1IFDPWt_1FKiwhDph83XaGc0o0/edit?usp=sharing"",""งบพรบ!EU79"")"),0)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IFERROR(__xludf.DUMMYFUNCTION("IMPORTRANGE(""https://docs.google.com/spreadsheets/d/1QqKyyYR6Q21VydFLVH3TRQUabQu_ym0Zz7PgGX0-kHA/edit?usp=sharing"",""แผน!EG79"")"),300)</f>
        <v>300</v>
      </c>
      <c r="J338" s="270">
        <f ca="1">IFERROR(__xludf.DUMMYFUNCTION("IMPORTRANGE(""https://docs.google.com/spreadsheets/d/1kVcqe37tkHyjCSG3S0O1AXqVkqjo8mSIZil3BcpIysc/edit?usp=sharing"",""ศูนย์!D79"")"),369)</f>
        <v>369</v>
      </c>
      <c r="K338" s="498">
        <f ca="1">IF(I338&gt;0,J338*100/I338,0)</f>
        <v>123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IFERROR(__xludf.DUMMYFUNCTION("IMPORTRANGE(""https://docs.google.com/spreadsheets/d/1QqKyyYR6Q21VydFLVH3TRQUabQu_ym0Zz7PgGX0-kHA/edit?usp=sharing"",""แผน!EH73"")"),2)</f>
        <v>2</v>
      </c>
      <c r="J340" s="270">
        <f ca="1">IFERROR(__xludf.DUMMYFUNCTION("IMPORTRANGE(""https://docs.google.com/spreadsheets/d/1kVcqe37tkHyjCSG3S0O1AXqVkqjo8mSIZil3BcpIysc/edit?usp=sharing"",""ศูนย์!E79"")"),2)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IFERROR(__xludf.DUMMYFUNCTION("IMPORTRANGE(""https://docs.google.com/spreadsheets/d/1kVcqe37tkHyjCSG3S0O1AXqVkqjo8mSIZil3BcpIysc/edit?usp=sharing"",""ศูนย์!F79"")"),235)</f>
        <v>235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IFERROR(__xludf.DUMMYFUNCTION("IMPORTRANGE(""https://docs.google.com/spreadsheets/d/1kVcqe37tkHyjCSG3S0O1AXqVkqjo8mSIZil3BcpIysc/edit?usp=sharing"",""ศูนย์!G79"")"),0)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IFERROR(__xludf.DUMMYFUNCTION("IMPORTRANGE(""https://docs.google.com/spreadsheets/d/1kVcqe37tkHyjCSG3S0O1AXqVkqjo8mSIZil3BcpIysc/edit?usp=sharing"",""ศูนย์!H79"")"),0)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396570</v>
      </c>
      <c r="M345" s="155">
        <f t="shared" ca="1" si="154"/>
        <v>449070</v>
      </c>
      <c r="N345" s="155">
        <f t="shared" ca="1" si="154"/>
        <v>305043.8</v>
      </c>
      <c r="O345" s="155">
        <f t="shared" ref="O345:O353" ca="1" si="155">IF(L345&gt;0,N345*100/L345,0)</f>
        <v>76.920543661900794</v>
      </c>
      <c r="P345" s="155">
        <f t="shared" ref="P345:P353" ca="1" si="156">IF(M345&gt;0,N345*100/M345,0)</f>
        <v>67.927895428329663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7"/>
        <v>396570</v>
      </c>
      <c r="M347" s="93">
        <f t="shared" ca="1" si="157"/>
        <v>449070</v>
      </c>
      <c r="N347" s="93">
        <f t="shared" ca="1" si="157"/>
        <v>305043.8</v>
      </c>
      <c r="O347" s="93">
        <f t="shared" ca="1" si="155"/>
        <v>76.920543661900794</v>
      </c>
      <c r="P347" s="93">
        <f t="shared" ca="1" si="156"/>
        <v>67.927895428329663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305770</v>
      </c>
      <c r="M348" s="498">
        <f t="shared" ca="1" si="158"/>
        <v>358270</v>
      </c>
      <c r="N348" s="498">
        <f t="shared" ca="1" si="158"/>
        <v>214243.8</v>
      </c>
      <c r="O348" s="498">
        <f t="shared" ca="1" si="155"/>
        <v>70.066978447852961</v>
      </c>
      <c r="P348" s="498">
        <f t="shared" ca="1" si="156"/>
        <v>59.799536662293804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IFERROR(__xludf.DUMMYFUNCTION("IMPORTRANGE(""https://docs.google.com/spreadsheets/d/1MeEWN-I1oV_STSDYn1IFDPWt_1FKiwhDph83XaGc0o0/edit?usp=sharing"",""งบพรบ!EW79"")"),305770)</f>
        <v>305770</v>
      </c>
      <c r="M350" s="93">
        <f ca="1">IFERROR(__xludf.DUMMYFUNCTION("IMPORTRANGE(""https://docs.google.com/spreadsheets/d/1MeEWN-I1oV_STSDYn1IFDPWt_1FKiwhDph83XaGc0o0/edit?usp=sharing"",""งบพรบ!FB79"")"),358270)</f>
        <v>358270</v>
      </c>
      <c r="N350" s="93">
        <f ca="1">IFERROR(__xludf.DUMMYFUNCTION("IMPORTRANGE(""https://docs.google.com/spreadsheets/d/1MeEWN-I1oV_STSDYn1IFDPWt_1FKiwhDph83XaGc0o0/edit?usp=sharing"",""งบพรบ!FD79"")"),214243.8)</f>
        <v>214243.8</v>
      </c>
      <c r="O350" s="93">
        <f t="shared" ca="1" si="155"/>
        <v>70.066978447852961</v>
      </c>
      <c r="P350" s="93">
        <f t="shared" ca="1" si="156"/>
        <v>59.799536662293804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90800</v>
      </c>
      <c r="M351" s="498">
        <f t="shared" ca="1" si="159"/>
        <v>90800</v>
      </c>
      <c r="N351" s="498">
        <f t="shared" ca="1" si="159"/>
        <v>90800</v>
      </c>
      <c r="O351" s="498">
        <f t="shared" ca="1" si="155"/>
        <v>100</v>
      </c>
      <c r="P351" s="49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IFERROR(__xludf.DUMMYFUNCTION("IMPORTRANGE(""https://docs.google.com/spreadsheets/d/1MeEWN-I1oV_STSDYn1IFDPWt_1FKiwhDph83XaGc0o0/edit?usp=sharing"",""งบพรบ!EZ79"")"),90800)</f>
        <v>90800</v>
      </c>
      <c r="M353" s="93">
        <f ca="1">IFERROR(__xludf.DUMMYFUNCTION("IMPORTRANGE(""https://docs.google.com/spreadsheets/d/1MeEWN-I1oV_STSDYn1IFDPWt_1FKiwhDph83XaGc0o0/edit?usp=sharing"",""งบพรบ!FC79"")"),90800)</f>
        <v>90800</v>
      </c>
      <c r="N353" s="93">
        <f ca="1">IFERROR(__xludf.DUMMYFUNCTION("IMPORTRANGE(""https://docs.google.com/spreadsheets/d/1MeEWN-I1oV_STSDYn1IFDPWt_1FKiwhDph83XaGc0o0/edit?usp=sharing"",""งบพรบ!FE79"")"),90800)</f>
        <v>90800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IFERROR(__xludf.DUMMYFUNCTION("IMPORTRANGE(""https://docs.google.com/spreadsheets/d/1QqKyyYR6Q21VydFLVH3TRQUabQu_ym0Zz7PgGX0-kHA/edit?usp=sharing"",""แผน!EP79"")"),27)</f>
        <v>27</v>
      </c>
      <c r="J355" s="465">
        <f ca="1">J362</f>
        <v>17</v>
      </c>
      <c r="K355" s="466">
        <f ca="1">IF(I355&gt;0,J355*100/I355,0)</f>
        <v>62.962962962962962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IFERROR(__xludf.DUMMYFUNCTION("IMPORTRANGE(""https://docs.google.com/spreadsheets/d/1XWAQStnk-4SwqDmLtmXYiTMKHgktTP8We1SCoS47DrQ/edit?usp=sharing"",""จัดที่ดิน!W79"")"),26)</f>
        <v>26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IFERROR(__xludf.DUMMYFUNCTION("IMPORTRANGE(""https://docs.google.com/spreadsheets/d/1QqKyyYR6Q21VydFLVH3TRQUabQu_ym0Zz7PgGX0-kHA/edit?usp=sharing"",""แผน!EO79"")"),90)</f>
        <v>90</v>
      </c>
      <c r="J359" s="270">
        <f ca="1">IFERROR(__xludf.DUMMYFUNCTION("IMPORTRANGE(""https://docs.google.com/spreadsheets/d/1XWAQStnk-4SwqDmLtmXYiTMKHgktTP8We1SCoS47DrQ/edit?usp=sharing"",""จัดที่ดิน!X79"")"),71.96)</f>
        <v>71.959999999999994</v>
      </c>
      <c r="K359" s="498">
        <f t="shared" ca="1" si="160"/>
        <v>79.955555555555549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IFERROR(__xludf.DUMMYFUNCTION("IMPORTRANGE(""https://docs.google.com/spreadsheets/d/1QqKyyYR6Q21VydFLVH3TRQUabQu_ym0Zz7PgGX0-kHA/edit?usp=sharing"",""แผน!EP79"")"),27)</f>
        <v>27</v>
      </c>
      <c r="J360" s="270">
        <f ca="1">IFERROR(__xludf.DUMMYFUNCTION("IMPORTRANGE(""https://docs.google.com/spreadsheets/d/1XWAQStnk-4SwqDmLtmXYiTMKHgktTP8We1SCoS47DrQ/edit?usp=sharing"",""จัดที่ดิน!Y79"")"),27)</f>
        <v>27</v>
      </c>
      <c r="K360" s="498">
        <f t="shared" ca="1" si="160"/>
        <v>100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IFERROR(__xludf.DUMMYFUNCTION("IMPORTRANGE(""https://docs.google.com/spreadsheets/d/1XWAQStnk-4SwqDmLtmXYiTMKHgktTP8We1SCoS47DrQ/edit?usp=sharing"",""จัดที่ดิน!Z79"")"),66.46)</f>
        <v>66.459999999999994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IFERROR(__xludf.DUMMYFUNCTION("IMPORTRANGE(""https://docs.google.com/spreadsheets/d/1QqKyyYR6Q21VydFLVH3TRQUabQu_ym0Zz7PgGX0-kHA/edit?usp=sharing"",""แผน!EP79"")"),27)</f>
        <v>27</v>
      </c>
      <c r="J362" s="270">
        <f ca="1">IFERROR(__xludf.DUMMYFUNCTION("IMPORTRANGE(""https://docs.google.com/spreadsheets/d/1XWAQStnk-4SwqDmLtmXYiTMKHgktTP8We1SCoS47DrQ/edit?usp=sharing"",""จัดที่ดิน!AA79"")"),17)</f>
        <v>17</v>
      </c>
      <c r="K362" s="498">
        <f t="shared" ca="1" si="160"/>
        <v>62.962962962962962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IFERROR(__xludf.DUMMYFUNCTION("IMPORTRANGE(""https://docs.google.com/spreadsheets/d/1XWAQStnk-4SwqDmLtmXYiTMKHgktTP8We1SCoS47DrQ/edit?usp=sharing"",""จัดที่ดิน!AB79"")"),33.17)</f>
        <v>33.17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42</v>
      </c>
      <c r="J364" s="479">
        <f t="shared" ca="1" si="161"/>
        <v>28</v>
      </c>
      <c r="K364" s="480">
        <f t="shared" ca="1" si="160"/>
        <v>66.666666666666671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IFERROR(__xludf.DUMMYFUNCTION("IMPORTRANGE(""https://docs.google.com/spreadsheets/d/1QqKyyYR6Q21VydFLVH3TRQUabQu_ym0Zz7PgGX0-kHA/edit?usp=sharing"",""แผน!EJ79"")"),17)</f>
        <v>17</v>
      </c>
      <c r="J365" s="491">
        <f ca="1">J372</f>
        <v>14</v>
      </c>
      <c r="K365" s="492">
        <f t="shared" ca="1" si="160"/>
        <v>82.352941176470594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IFERROR(__xludf.DUMMYFUNCTION("IMPORTRANGE(""https://docs.google.com/spreadsheets/d/1XWAQStnk-4SwqDmLtmXYiTMKHgktTP8We1SCoS47DrQ/edit?usp=sharing"",""จัดที่ดิน!E79"")"),17)</f>
        <v>17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IFERROR(__xludf.DUMMYFUNCTION("IMPORTRANGE(""https://docs.google.com/spreadsheets/d/1QqKyyYR6Q21VydFLVH3TRQUabQu_ym0Zz7PgGX0-kHA/edit?usp=sharing"",""แผน!EI79"")"),50)</f>
        <v>50</v>
      </c>
      <c r="J369" s="270">
        <f ca="1">IFERROR(__xludf.DUMMYFUNCTION("IMPORTRANGE(""https://docs.google.com/spreadsheets/d/1XWAQStnk-4SwqDmLtmXYiTMKHgktTP8We1SCoS47DrQ/edit?usp=sharing"",""จัดที่ดิน!F79"")"),50.55)</f>
        <v>50.55</v>
      </c>
      <c r="K369" s="498">
        <f t="shared" ca="1" si="162"/>
        <v>101.1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IFERROR(__xludf.DUMMYFUNCTION("IMPORTRANGE(""https://docs.google.com/spreadsheets/d/1QqKyyYR6Q21VydFLVH3TRQUabQu_ym0Zz7PgGX0-kHA/edit?usp=sharing"",""แผน!EJ79"")"),17)</f>
        <v>17</v>
      </c>
      <c r="J370" s="270">
        <f ca="1">IFERROR(__xludf.DUMMYFUNCTION("IMPORTRANGE(""https://docs.google.com/spreadsheets/d/1XWAQStnk-4SwqDmLtmXYiTMKHgktTP8We1SCoS47DrQ/edit?usp=sharing"",""จัดที่ดิน!G79"")"),17)</f>
        <v>17</v>
      </c>
      <c r="K370" s="498">
        <f t="shared" ca="1" si="162"/>
        <v>100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IFERROR(__xludf.DUMMYFUNCTION("IMPORTRANGE(""https://docs.google.com/spreadsheets/d/1XWAQStnk-4SwqDmLtmXYiTMKHgktTP8We1SCoS47DrQ/edit?usp=sharing"",""จัดที่ดิน!H79"")"),43.81)</f>
        <v>43.81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IFERROR(__xludf.DUMMYFUNCTION("IMPORTRANGE(""https://docs.google.com/spreadsheets/d/1QqKyyYR6Q21VydFLVH3TRQUabQu_ym0Zz7PgGX0-kHA/edit?usp=sharing"",""แผน!EJ79"")"),17)</f>
        <v>17</v>
      </c>
      <c r="J372" s="270">
        <f ca="1">IFERROR(__xludf.DUMMYFUNCTION("IMPORTRANGE(""https://docs.google.com/spreadsheets/d/1XWAQStnk-4SwqDmLtmXYiTMKHgktTP8We1SCoS47DrQ/edit?usp=sharing"",""จัดที่ดิน!I79"")"),14)</f>
        <v>14</v>
      </c>
      <c r="K372" s="498">
        <f t="shared" ca="1" si="162"/>
        <v>82.352941176470594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IFERROR(__xludf.DUMMYFUNCTION("IMPORTRANGE(""https://docs.google.com/spreadsheets/d/1XWAQStnk-4SwqDmLtmXYiTMKHgktTP8We1SCoS47DrQ/edit?usp=sharing"",""จัดที่ดิน!J79"")"),29.59)</f>
        <v>29.59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IFERROR(__xludf.DUMMYFUNCTION("IMPORTRANGE(""https://docs.google.com/spreadsheets/d/1QqKyyYR6Q21VydFLVH3TRQUabQu_ym0Zz7PgGX0-kHA/edit?usp=sharing"",""แผน!EU79"")"),25)</f>
        <v>25</v>
      </c>
      <c r="J374" s="491">
        <f ca="1">J381</f>
        <v>14</v>
      </c>
      <c r="K374" s="492">
        <f t="shared" ca="1" si="162"/>
        <v>56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IFERROR(__xludf.DUMMYFUNCTION("IMPORTRANGE(""https://docs.google.com/spreadsheets/d/1XWAQStnk-4SwqDmLtmXYiTMKHgktTP8We1SCoS47DrQ/edit?usp=sharing"",""จัดที่ดิน!AH79"")"),9)</f>
        <v>9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IFERROR(__xludf.DUMMYFUNCTION("IMPORTRANGE(""https://docs.google.com/spreadsheets/d/1QqKyyYR6Q21VydFLVH3TRQUabQu_ym0Zz7PgGX0-kHA/edit?usp=sharing"",""แผน!ET79"")"),40)</f>
        <v>40</v>
      </c>
      <c r="J378" s="270">
        <f ca="1">IFERROR(__xludf.DUMMYFUNCTION("IMPORTRANGE(""https://docs.google.com/spreadsheets/d/1XWAQStnk-4SwqDmLtmXYiTMKHgktTP8We1SCoS47DrQ/edit?usp=sharing"",""จัดที่ดิน!AI79"")"),21.41)</f>
        <v>21.41</v>
      </c>
      <c r="K378" s="498">
        <f t="shared" ca="1" si="163"/>
        <v>53.524999999999999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IFERROR(__xludf.DUMMYFUNCTION("IMPORTRANGE(""https://docs.google.com/spreadsheets/d/1QqKyyYR6Q21VydFLVH3TRQUabQu_ym0Zz7PgGX0-kHA/edit?usp=sharing"",""แผน!EU79"")"),25)</f>
        <v>25</v>
      </c>
      <c r="J379" s="270">
        <f ca="1">IFERROR(__xludf.DUMMYFUNCTION("IMPORTRANGE(""https://docs.google.com/spreadsheets/d/1XWAQStnk-4SwqDmLtmXYiTMKHgktTP8We1SCoS47DrQ/edit?usp=sharing"",""จัดที่ดิน!AJ79"")"),25)</f>
        <v>25</v>
      </c>
      <c r="K379" s="498">
        <f t="shared" ca="1" si="163"/>
        <v>100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IFERROR(__xludf.DUMMYFUNCTION("IMPORTRANGE(""https://docs.google.com/spreadsheets/d/1XWAQStnk-4SwqDmLtmXYiTMKHgktTP8We1SCoS47DrQ/edit?usp=sharing"",""จัดที่ดิน!AK79"")"),89.6099999999999)</f>
        <v>89.6099999999999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IFERROR(__xludf.DUMMYFUNCTION("IMPORTRANGE(""https://docs.google.com/spreadsheets/d/1QqKyyYR6Q21VydFLVH3TRQUabQu_ym0Zz7PgGX0-kHA/edit?usp=sharing"",""แผน!EU79"")"),25)</f>
        <v>25</v>
      </c>
      <c r="J381" s="270">
        <f ca="1">IFERROR(__xludf.DUMMYFUNCTION("IMPORTRANGE(""https://docs.google.com/spreadsheets/d/1XWAQStnk-4SwqDmLtmXYiTMKHgktTP8We1SCoS47DrQ/edit?usp=sharing"",""จัดที่ดิน!AL79"")"),14)</f>
        <v>14</v>
      </c>
      <c r="K381" s="498">
        <f t="shared" ca="1" si="163"/>
        <v>56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IFERROR(__xludf.DUMMYFUNCTION("IMPORTRANGE(""https://docs.google.com/spreadsheets/d/1XWAQStnk-4SwqDmLtmXYiTMKHgktTP8We1SCoS47DrQ/edit?usp=sharing"",""จัดที่ดิน!AM79"")"),59.11)</f>
        <v>59.11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IFERROR(__xludf.DUMMYFUNCTION("IMPORTRANGE(""https://docs.google.com/spreadsheets/d/1QqKyyYR6Q21VydFLVH3TRQUabQu_ym0Zz7PgGX0-kHA/edit?usp=sharing"",""แผน!EW79"")"),0)</f>
        <v>0</v>
      </c>
      <c r="J385" s="505">
        <f ca="1">IFERROR(__xludf.DUMMYFUNCTION("IMPORTRANGE(""https://docs.google.com/spreadsheets/d/1XWAQStnk-4SwqDmLtmXYiTMKHgktTP8We1SCoS47DrQ/edit?usp=sharing"",""จัดที่ดิน!AP79"")"),0)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4">I400</f>
        <v>0</v>
      </c>
      <c r="J388" s="526">
        <f t="shared" si="164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IFERROR(__xludf.DUMMYFUNCTION("IMPORTRANGE(""https://docs.google.com/spreadsheets/d/1MeEWN-I1oV_STSDYn1IFDPWt_1FKiwhDph83XaGc0o0/edit?usp=sharing"",""งบพรบ!FG79"")"),0)</f>
        <v>0</v>
      </c>
      <c r="M394" s="93">
        <f ca="1">IFERROR(__xludf.DUMMYFUNCTION("IMPORTRANGE(""https://docs.google.com/spreadsheets/d/1MeEWN-I1oV_STSDYn1IFDPWt_1FKiwhDph83XaGc0o0/edit?usp=sharing"",""งบพรบ!FL79"")"),0)</f>
        <v>0</v>
      </c>
      <c r="N394" s="93">
        <f ca="1">IFERROR(__xludf.DUMMYFUNCTION("IMPORTRANGE(""https://docs.google.com/spreadsheets/d/1MeEWN-I1oV_STSDYn1IFDPWt_1FKiwhDph83XaGc0o0/edit?usp=sharing"",""งบพรบ!FN79"")"),0)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0</v>
      </c>
      <c r="M395" s="498">
        <f t="shared" ca="1" si="170"/>
        <v>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IFERROR(__xludf.DUMMYFUNCTION("IMPORTRANGE(""https://docs.google.com/spreadsheets/d/1MeEWN-I1oV_STSDYn1IFDPWt_1FKiwhDph83XaGc0o0/edit?usp=sharing"",""งบพรบ!FJ79"")"),0)</f>
        <v>0</v>
      </c>
      <c r="M397" s="93">
        <f ca="1">IFERROR(__xludf.DUMMYFUNCTION("IMPORTRANGE(""https://docs.google.com/spreadsheets/d/1MeEWN-I1oV_STSDYn1IFDPWt_1FKiwhDph83XaGc0o0/edit?usp=sharing"",""งบพรบ!FM79"")"),0)</f>
        <v>0</v>
      </c>
      <c r="N397" s="93">
        <f ca="1">IFERROR(__xludf.DUMMYFUNCTION("IMPORTRANGE(""https://docs.google.com/spreadsheets/d/1MeEWN-I1oV_STSDYn1IFDPWt_1FKiwhDph83XaGc0o0/edit?usp=sharing"",""งบพรบ!FO79"")"),0)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1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2">I412</f>
        <v>0</v>
      </c>
      <c r="J401" s="526">
        <f t="shared" si="172"/>
        <v>0</v>
      </c>
      <c r="K401" s="527">
        <f t="shared" si="171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IFERROR(__xludf.DUMMYFUNCTION("IMPORTRANGE(""https://docs.google.com/spreadsheets/d/1MeEWN-I1oV_STSDYn1IFDPWt_1FKiwhDph83XaGc0o0/edit?usp=sharing"",""งบพรบ!FQ79"")"),0)</f>
        <v>0</v>
      </c>
      <c r="M407" s="93">
        <f ca="1">IFERROR(__xludf.DUMMYFUNCTION("IMPORTRANGE(""https://docs.google.com/spreadsheets/d/1MeEWN-I1oV_STSDYn1IFDPWt_1FKiwhDph83XaGc0o0/edit?usp=sharing"",""งบพรบ!FV79"")"),0)</f>
        <v>0</v>
      </c>
      <c r="N407" s="93">
        <f ca="1">IFERROR(__xludf.DUMMYFUNCTION("IMPORTRANGE(""https://docs.google.com/spreadsheets/d/1MeEWN-I1oV_STSDYn1IFDPWt_1FKiwhDph83XaGc0o0/edit?usp=sharing"",""งบพรบ!FX79"")"),0)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0</v>
      </c>
      <c r="M408" s="498">
        <f t="shared" ca="1" si="178"/>
        <v>0</v>
      </c>
      <c r="N408" s="498">
        <f t="shared" ca="1" si="178"/>
        <v>0</v>
      </c>
      <c r="O408" s="498">
        <f t="shared" ca="1" si="174"/>
        <v>0</v>
      </c>
      <c r="P408" s="49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IFERROR(__xludf.DUMMYFUNCTION("IMPORTRANGE(""https://docs.google.com/spreadsheets/d/1MeEWN-I1oV_STSDYn1IFDPWt_1FKiwhDph83XaGc0o0/edit?usp=sharing"",""งบพรบ!FT79"")"),0)</f>
        <v>0</v>
      </c>
      <c r="M410" s="93">
        <f ca="1">IFERROR(__xludf.DUMMYFUNCTION("IMPORTRANGE(""https://docs.google.com/spreadsheets/d/1MeEWN-I1oV_STSDYn1IFDPWt_1FKiwhDph83XaGc0o0/edit?usp=sharing"",""งบพรบ!FW79"")"),0)</f>
        <v>0</v>
      </c>
      <c r="N410" s="93">
        <f ca="1">IFERROR(__xludf.DUMMYFUNCTION("IMPORTRANGE(""https://docs.google.com/spreadsheets/d/1MeEWN-I1oV_STSDYn1IFDPWt_1FKiwhDph83XaGc0o0/edit?usp=sharing"",""งบพรบ!FY79"")"),0)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79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0">L419+L444+L467+L502+L523+L544+L629+L655+L685+L737+L754+L770+L786+L805</f>
        <v>737624</v>
      </c>
      <c r="M414" s="553">
        <f t="shared" ca="1" si="180"/>
        <v>732014</v>
      </c>
      <c r="N414" s="553">
        <f t="shared" si="180"/>
        <v>583280</v>
      </c>
      <c r="O414" s="553">
        <f ca="1">IF(L414&gt;0,N414*100/L414,0)</f>
        <v>79.075518150168648</v>
      </c>
      <c r="P414" s="553">
        <f ca="1">IF(M414&gt;0,N414*100/M414,0)</f>
        <v>79.681536145483562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1">I433</f>
        <v>15</v>
      </c>
      <c r="J417" s="569">
        <f t="shared" ca="1" si="181"/>
        <v>15</v>
      </c>
      <c r="K417" s="570">
        <f t="shared" ref="K417:K418" ca="1" si="182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1"/>
        <v>1</v>
      </c>
      <c r="J418" s="569">
        <f t="shared" si="181"/>
        <v>1</v>
      </c>
      <c r="K418" s="570">
        <f t="shared" ca="1" si="182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3">L420+L421</f>
        <v>98660</v>
      </c>
      <c r="M419" s="155">
        <f t="shared" ca="1" si="183"/>
        <v>93050</v>
      </c>
      <c r="N419" s="155">
        <f t="shared" si="183"/>
        <v>84380</v>
      </c>
      <c r="O419" s="155">
        <f t="shared" ref="O419:O424" ca="1" si="184">IF(L419&gt;0,N419*100/L419,0)</f>
        <v>85.526049057368738</v>
      </c>
      <c r="P419" s="155">
        <f t="shared" ref="P419:P424" ca="1" si="185">IF(M419&gt;0,N419*100/M419,0)</f>
        <v>90.68242880171951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6"/>
        <v>98660</v>
      </c>
      <c r="M421" s="93">
        <f t="shared" ca="1" si="186"/>
        <v>93050</v>
      </c>
      <c r="N421" s="93">
        <f t="shared" si="186"/>
        <v>84380</v>
      </c>
      <c r="O421" s="93">
        <f t="shared" ca="1" si="184"/>
        <v>85.526049057368738</v>
      </c>
      <c r="P421" s="93">
        <f t="shared" ca="1" si="185"/>
        <v>90.68242880171951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98660</v>
      </c>
      <c r="M422" s="498">
        <f t="shared" ca="1" si="187"/>
        <v>93050</v>
      </c>
      <c r="N422" s="498">
        <f t="shared" si="187"/>
        <v>84380</v>
      </c>
      <c r="O422" s="498">
        <f t="shared" ca="1" si="184"/>
        <v>85.526049057368738</v>
      </c>
      <c r="P422" s="498">
        <f t="shared" ca="1" si="185"/>
        <v>90.68242880171951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IFERROR(__xludf.DUMMYFUNCTION("IMPORTRANGE(""https://docs.google.com/spreadsheets/d/1QqKyyYR6Q21VydFLVH3TRQUabQu_ym0Zz7PgGX0-kHA/edit?usp=sharing"",""แผน!EY79"")"),98660)</f>
        <v>98660</v>
      </c>
      <c r="M424" s="93">
        <f ca="1">L424-5610</f>
        <v>93050</v>
      </c>
      <c r="N424" s="93">
        <f>N425+N426+N427+N428</f>
        <v>84380</v>
      </c>
      <c r="O424" s="93">
        <f t="shared" ca="1" si="184"/>
        <v>85.526049057368738</v>
      </c>
      <c r="P424" s="93">
        <f t="shared" ca="1" si="185"/>
        <v>90.68242880171951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f>[1]ผลการเบิกจ่ายเงินกองทุน!F48</f>
        <v>36300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[1]ผลการเบิกจ่ายเงินกองทุน!F47+[1]ผลการเบิกจ่ายเงินกองทุน!F49+[1]ผลการเบิกจ่ายเงินกองทุน!F50+[1]ผลการเบิกจ่ายเงินกองทุน!F51+[1]ผลการเบิกจ่ายเงินกองทุน!F52</f>
        <v>48080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IFERROR(__xludf.DUMMYFUNCTION("IMPORTRANGE(""https://docs.google.com/spreadsheets/d/1QqKyyYR6Q21VydFLVH3TRQUabQu_ym0Zz7PgGX0-kHA/edit?usp=sharing"",""แผน!FB79"")"),0)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2">I438+I440</f>
        <v>1</v>
      </c>
      <c r="J434" s="680">
        <f t="shared" si="192"/>
        <v>1</v>
      </c>
      <c r="K434" s="195">
        <f t="shared" ca="1" si="191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IFERROR(__xludf.DUMMYFUNCTION("IMPORTRANGE(""https://docs.google.com/spreadsheets/d/1QqKyyYR6Q21VydFLVH3TRQUabQu_ym0Zz7PgGX0-kHA/edit?usp=sharing"",""แผน!FC79"")"),15)</f>
        <v>15</v>
      </c>
      <c r="J435" s="583">
        <v>15</v>
      </c>
      <c r="K435" s="498">
        <f t="shared" ca="1" si="191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IFERROR(__xludf.DUMMYFUNCTION("IMPORTRANGE(""https://docs.google.com/spreadsheets/d/1QqKyyYR6Q21VydFLVH3TRQUabQu_ym0Zz7PgGX0-kHA/edit?usp=sharing"",""แผน!FD79"")"),0)</f>
        <v>0</v>
      </c>
      <c r="J437" s="583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IFERROR(__xludf.DUMMYFUNCTION("IMPORTRANGE(""https://docs.google.com/spreadsheets/d/1QqKyyYR6Q21VydFLVH3TRQUabQu_ym0Zz7PgGX0-kHA/edit?usp=sharing"",""แผน!FE79"")"),0)</f>
        <v>0</v>
      </c>
      <c r="J438" s="215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IFERROR(__xludf.DUMMYFUNCTION("IMPORTRANGE(""https://docs.google.com/spreadsheets/d/1QqKyyYR6Q21VydFLVH3TRQUabQu_ym0Zz7PgGX0-kHA/edit?usp=sharing"",""แผน!FF79"")"),15)</f>
        <v>15</v>
      </c>
      <c r="J439" s="583">
        <v>15</v>
      </c>
      <c r="K439" s="498">
        <f t="shared" ca="1" si="193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IFERROR(__xludf.DUMMYFUNCTION("IMPORTRANGE(""https://docs.google.com/spreadsheets/d/1QqKyyYR6Q21VydFLVH3TRQUabQu_ym0Zz7PgGX0-kHA/edit?usp=sharing"",""แผน!FG79"")"),1)</f>
        <v>1</v>
      </c>
      <c r="J440" s="215">
        <v>1</v>
      </c>
      <c r="K440" s="498">
        <f t="shared" ca="1" si="193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IFERROR(__xludf.DUMMYFUNCTION("IMPORTRANGE(""https://docs.google.com/spreadsheets/d/1QqKyyYR6Q21VydFLVH3TRQUabQu_ym0Zz7PgGX0-kHA/edit?usp=sharing"",""แผน!FH79"")"),0)</f>
        <v>0</v>
      </c>
      <c r="J441" s="270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4">I460</f>
        <v>0</v>
      </c>
      <c r="J442" s="589">
        <f t="shared" si="194"/>
        <v>0</v>
      </c>
      <c r="K442" s="590">
        <f t="shared" ca="1" si="193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5">I462</f>
        <v>0</v>
      </c>
      <c r="J443" s="569">
        <f t="shared" si="195"/>
        <v>0</v>
      </c>
      <c r="K443" s="570">
        <f t="shared" ca="1" si="193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0</v>
      </c>
      <c r="M447" s="498">
        <f t="shared" si="200"/>
        <v>0</v>
      </c>
      <c r="N447" s="498">
        <f t="shared" si="200"/>
        <v>0</v>
      </c>
      <c r="O447" s="498">
        <f t="shared" ca="1" si="197"/>
        <v>0</v>
      </c>
      <c r="P447" s="498">
        <f t="shared" si="198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IFERROR(__xludf.DUMMYFUNCTION("IMPORTRANGE(""https://docs.google.com/spreadsheets/d/1QqKyyYR6Q21VydFLVH3TRQUabQu_ym0Zz7PgGX0-kHA/edit?usp=sharing"",""แผน!FJ79"")"),0)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IFERROR(__xludf.DUMMYFUNCTION("IMPORTRANGE(""https://docs.google.com/spreadsheets/d/1QqKyyYR6Q21VydFLVH3TRQUabQu_ym0Zz7PgGX0-kHA/edit?usp=sharing"",""แผน!FM79"")"),0)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IFERROR(__xludf.DUMMYFUNCTION("IMPORTRANGE(""https://docs.google.com/spreadsheets/d/1QqKyyYR6Q21VydFLVH3TRQUabQu_ym0Zz7PgGX0-kHA/edit?usp=sharing"",""แผน!FN79"")"),0)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IFERROR(__xludf.DUMMYFUNCTION("IMPORTRANGE(""https://docs.google.com/spreadsheets/d/1QqKyyYR6Q21VydFLVH3TRQUabQu_ym0Zz7PgGX0-kHA/edit?usp=sharing"",""แผน!FO79"")"),0)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IFERROR(__xludf.DUMMYFUNCTION("IMPORTRANGE(""https://docs.google.com/spreadsheets/d/1QqKyyYR6Q21VydFLVH3TRQUabQu_ym0Zz7PgGX0-kHA/edit?usp=sharing"",""แผน!FO79"")"),0)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IFERROR(__xludf.DUMMYFUNCTION("IMPORTRANGE(""https://docs.google.com/spreadsheets/d/1QqKyyYR6Q21VydFLVH3TRQUabQu_ym0Zz7PgGX0-kHA/edit?usp=sharing"",""แผน!FN79"")"),0)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IFERROR(__xludf.DUMMYFUNCTION("IMPORTRANGE(""https://docs.google.com/spreadsheets/d/1QqKyyYR6Q21VydFLVH3TRQUabQu_ym0Zz7PgGX0-kHA/edit?usp=sharing"",""แผน!FX79"")"),11)</f>
        <v>11</v>
      </c>
      <c r="J465" s="589">
        <f>J485+J489+J492</f>
        <v>11</v>
      </c>
      <c r="K465" s="590">
        <f t="shared" ref="K465:K466" ca="1" si="204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IFERROR(__xludf.DUMMYFUNCTION("IMPORTRANGE(""https://docs.google.com/spreadsheets/d/1QqKyyYR6Q21VydFLVH3TRQUabQu_ym0Zz7PgGX0-kHA/edit?usp=sharing"",""แผน!FW79"")"),100)</f>
        <v>100</v>
      </c>
      <c r="J466" s="569">
        <f>J495+J498</f>
        <v>100</v>
      </c>
      <c r="K466" s="570">
        <f t="shared" ca="1" si="204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5">L468+L469</f>
        <v>115023</v>
      </c>
      <c r="M467" s="195">
        <f t="shared" ca="1" si="205"/>
        <v>115023</v>
      </c>
      <c r="N467" s="195">
        <f t="shared" si="205"/>
        <v>114023</v>
      </c>
      <c r="O467" s="195">
        <f t="shared" ref="O467:O472" ca="1" si="206">IF(L467&gt;0,N467*100/L467,0)</f>
        <v>99.130608660876518</v>
      </c>
      <c r="P467" s="195">
        <f t="shared" ref="P467:P472" ca="1" si="207">IF(M467&gt;0,N467*100/M467,0)</f>
        <v>99.130608660876518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8"/>
        <v>115023</v>
      </c>
      <c r="M469" s="93">
        <f t="shared" ca="1" si="208"/>
        <v>115023</v>
      </c>
      <c r="N469" s="93">
        <f t="shared" si="208"/>
        <v>114023</v>
      </c>
      <c r="O469" s="93">
        <f t="shared" ca="1" si="206"/>
        <v>99.130608660876518</v>
      </c>
      <c r="P469" s="93">
        <f t="shared" ca="1" si="207"/>
        <v>99.130608660876518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115023</v>
      </c>
      <c r="M470" s="498">
        <f t="shared" ca="1" si="209"/>
        <v>115023</v>
      </c>
      <c r="N470" s="498">
        <f t="shared" si="209"/>
        <v>114023</v>
      </c>
      <c r="O470" s="498">
        <f t="shared" ca="1" si="206"/>
        <v>99.130608660876518</v>
      </c>
      <c r="P470" s="498">
        <f t="shared" ca="1" si="207"/>
        <v>99.130608660876518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IFERROR(__xludf.DUMMYFUNCTION("IMPORTRANGE(""https://docs.google.com/spreadsheets/d/1QqKyyYR6Q21VydFLVH3TRQUabQu_ym0Zz7PgGX0-kHA/edit?usp=sharing"",""แผน!FS79"")"),115023)</f>
        <v>115023</v>
      </c>
      <c r="M472" s="93">
        <f ca="1">L472</f>
        <v>115023</v>
      </c>
      <c r="N472" s="93">
        <f>N473+N474+N475+N476</f>
        <v>114023</v>
      </c>
      <c r="O472" s="93">
        <f t="shared" ca="1" si="206"/>
        <v>99.130608660876518</v>
      </c>
      <c r="P472" s="93">
        <f t="shared" ca="1" si="207"/>
        <v>99.130608660876518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f>[1]ผลการเบิกจ่ายเงินกองทุน!F57+[1]ผลการเบิกจ่ายเงินกองทุน!F62</f>
        <v>29793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f>[1]ผลการเบิกจ่ายเงินกองทุน!F60</f>
        <v>66000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[1]ผลการเบิกจ่ายเงินกองทุน!F55+[1]ผลการเบิกจ่ายเงินกองทุน!F56+[1]ผลการเบิกจ่ายเงินกองทุน!F58+[1]ผลการเบิกจ่ายเงินกองทุน!F59+[1]ผลการเบิกจ่ายเงินกองทุน!F61</f>
        <v>18230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IFERROR(__xludf.DUMMYFUNCTION("IMPORTRANGE(""https://docs.google.com/spreadsheets/d/1QqKyyYR6Q21VydFLVH3TRQUabQu_ym0Zz7PgGX0-kHA/edit?usp=sharing"",""แผน!FV79"")"),0)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IFERROR(__xludf.DUMMYFUNCTION("IMPORTRANGE(""https://docs.google.com/spreadsheets/d/1QqKyyYR6Q21VydFLVH3TRQUabQu_ym0Zz7PgGX0-kHA/edit?usp=sharing"",""แผน!FY79"")"),90)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13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IFERROR(__xludf.DUMMYFUNCTION("IMPORTRANGE(""https://docs.google.com/spreadsheets/d/1QqKyyYR6Q21VydFLVH3TRQUabQu_ym0Zz7PgGX0-kHA/edit?usp=sharing"",""แผน!FZ79"")"),9)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IFERROR(__xludf.DUMMYFUNCTION("IMPORTRANGE(""https://docs.google.com/spreadsheets/d/1QqKyyYR6Q21VydFLVH3TRQUabQu_ym0Zz7PgGX0-kHA/edit?usp=sharing"",""แผน!GA79"")"),10)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IFERROR(__xludf.DUMMYFUNCTION("IMPORTRANGE(""https://docs.google.com/spreadsheets/d/1QqKyyYR6Q21VydFLVH3TRQUabQu_ym0Zz7PgGX0-kHA/edit?usp=sharing"",""แผน!GB79"")"),1)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IFERROR(__xludf.DUMMYFUNCTION("IMPORTRANGE(""https://docs.google.com/spreadsheets/d/1QqKyyYR6Q21VydFLVH3TRQUabQu_ym0Zz7PgGX0-kHA/edit?usp=sharing"",""แผน!GC79"")"),1)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IFERROR(__xludf.DUMMYFUNCTION("IMPORTRANGE(""https://docs.google.com/spreadsheets/d/1QqKyyYR6Q21VydFLVH3TRQUabQu_ym0Zz7PgGX0-kHA/edit?usp=sharing"",""แผน!FY79"")"),90)</f>
        <v>90</v>
      </c>
      <c r="J495" s="215">
        <v>90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IFERROR(__xludf.DUMMYFUNCTION("IMPORTRANGE(""https://docs.google.com/spreadsheets/d/1QqKyyYR6Q21VydFLVH3TRQUabQu_ym0Zz7PgGX0-kHA/edit?usp=sharing"",""แผน!GA79"")"),10)</f>
        <v>10</v>
      </c>
      <c r="J498" s="215">
        <v>10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3">J516</f>
        <v>0</v>
      </c>
      <c r="K500" s="633">
        <f t="shared" ref="K500:K501" si="214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3"/>
        <v>0</v>
      </c>
      <c r="K501" s="642">
        <f t="shared" si="214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5">L503+L504</f>
        <v>0</v>
      </c>
      <c r="M502" s="646">
        <f t="shared" si="215"/>
        <v>0</v>
      </c>
      <c r="N502" s="646">
        <f t="shared" si="215"/>
        <v>0</v>
      </c>
      <c r="O502" s="646">
        <f t="shared" ref="O502:O507" si="216">IF(L502&gt;0,N502*100/L502,0)</f>
        <v>0</v>
      </c>
      <c r="P502" s="646">
        <f t="shared" ref="P502:P507" si="217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3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4">I537</f>
        <v>0</v>
      </c>
      <c r="J522" s="707">
        <f t="shared" ca="1" si="224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0</v>
      </c>
      <c r="M526" s="498">
        <f t="shared" si="229"/>
        <v>0</v>
      </c>
      <c r="N526" s="498">
        <f t="shared" si="229"/>
        <v>0</v>
      </c>
      <c r="O526" s="498">
        <f t="shared" ca="1" si="226"/>
        <v>0</v>
      </c>
      <c r="P526" s="498">
        <f t="shared" si="227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IFERROR(__xludf.DUMMYFUNCTION("IMPORTRANGE(""https://docs.google.com/spreadsheets/d/1QqKyyYR6Q21VydFLVH3TRQUabQu_ym0Zz7PgGX0-kHA/edit?usp=sharing"",""แผน!GQ79"")"),0)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IFERROR(__xludf.DUMMYFUNCTION("IMPORTRANGE(""https://docs.google.com/spreadsheets/d/1QqKyyYR6Q21VydFLVH3TRQUabQu_ym0Zz7PgGX0-kHA/edit?usp=sharing"",""แผน!GT79"")"),0)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IFERROR(__xludf.DUMMYFUNCTION("IMPORTRANGE(""https://docs.google.com/spreadsheets/d/1QqKyyYR6Q21VydFLVH3TRQUabQu_ym0Zz7PgGX0-kHA/edit?usp=sharing"",""แผน!GU79"")"),0)</f>
        <v>0</v>
      </c>
      <c r="J537" s="680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IFERROR(__xludf.DUMMYFUNCTION("IMPORTRANGE(""https://docs.google.com/spreadsheets/d/1QqKyyYR6Q21VydFLVH3TRQUabQu_ym0Zz7PgGX0-kHA/edit?usp=sharing"",""แผน!GV79"")"),0)</f>
        <v>0</v>
      </c>
      <c r="J538" s="215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IFERROR(__xludf.DUMMYFUNCTION("IMPORTRANGE(""https://docs.google.com/spreadsheets/d/1QqKyyYR6Q21VydFLVH3TRQUabQu_ym0Zz7PgGX0-kHA/edit?usp=sharing"",""แผน!GW79"")"),0)</f>
        <v>0</v>
      </c>
      <c r="J539" s="215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IFERROR(__xludf.DUMMYFUNCTION("IMPORTRANGE(""https://docs.google.com/spreadsheets/d/1QqKyyYR6Q21VydFLVH3TRQUabQu_ym0Zz7PgGX0-kHA/edit?usp=sharing"",""แผน!GX79"")"),0)</f>
        <v>0</v>
      </c>
      <c r="J540" s="215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IFERROR(__xludf.DUMMYFUNCTION("IMPORTRANGE(""https://docs.google.com/spreadsheets/d/1QqKyyYR6Q21VydFLVH3TRQUabQu_ym0Zz7PgGX0-kHA/edit?usp=sharing"",""แผน!GY79"")"),0)</f>
        <v>0</v>
      </c>
      <c r="J541" s="215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IFERROR(__xludf.DUMMYFUNCTION("IMPORTRANGE(""https://docs.google.com/spreadsheets/d/1QqKyyYR6Q21VydFLVH3TRQUabQu_ym0Zz7PgGX0-kHA/edit?usp=sharing"",""แผน!GZ79"")"),0)</f>
        <v>0</v>
      </c>
      <c r="J542" s="215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4">I559</f>
        <v>5970</v>
      </c>
      <c r="J543" s="686">
        <f t="shared" si="234"/>
        <v>5970</v>
      </c>
      <c r="K543" s="687">
        <f t="shared" ca="1" si="233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5">L545+L546</f>
        <v>308096</v>
      </c>
      <c r="M544" s="155">
        <f t="shared" ca="1" si="235"/>
        <v>308096</v>
      </c>
      <c r="N544" s="155">
        <f t="shared" si="235"/>
        <v>267797</v>
      </c>
      <c r="O544" s="155">
        <f t="shared" ref="O544:O549" ca="1" si="236">IF(L544&gt;0,N544*100/L544,0)</f>
        <v>86.91998597839634</v>
      </c>
      <c r="P544" s="155">
        <f t="shared" ref="P544:P549" ca="1" si="237">IF(M544&gt;0,N544*100/M544,0)</f>
        <v>86.91998597839634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8"/>
        <v>308096</v>
      </c>
      <c r="M546" s="93">
        <f t="shared" ca="1" si="239"/>
        <v>308096</v>
      </c>
      <c r="N546" s="93">
        <f t="shared" si="239"/>
        <v>267797</v>
      </c>
      <c r="O546" s="93">
        <f t="shared" ca="1" si="236"/>
        <v>86.91998597839634</v>
      </c>
      <c r="P546" s="93">
        <f t="shared" ca="1" si="237"/>
        <v>86.91998597839634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308096</v>
      </c>
      <c r="M547" s="498">
        <f t="shared" ca="1" si="240"/>
        <v>308096</v>
      </c>
      <c r="N547" s="498">
        <f t="shared" si="240"/>
        <v>267797</v>
      </c>
      <c r="O547" s="498">
        <f t="shared" ca="1" si="236"/>
        <v>86.91998597839634</v>
      </c>
      <c r="P547" s="498">
        <f t="shared" ca="1" si="237"/>
        <v>86.91998597839634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IFERROR(__xludf.DUMMYFUNCTION("IMPORTRANGE(""https://docs.google.com/spreadsheets/d/1QqKyyYR6Q21VydFLVH3TRQUabQu_ym0Zz7PgGX0-kHA/edit?usp=sharing"",""แผน!HB79"")"),308096)</f>
        <v>308096</v>
      </c>
      <c r="M549" s="93">
        <f ca="1">L549</f>
        <v>308096</v>
      </c>
      <c r="N549" s="93">
        <f>N550+N551+N552+N553+N554</f>
        <v>267797</v>
      </c>
      <c r="O549" s="93">
        <f t="shared" ca="1" si="236"/>
        <v>86.91998597839634</v>
      </c>
      <c r="P549" s="93">
        <f t="shared" ca="1" si="237"/>
        <v>86.91998597839634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f>[1]ผลการเบิกจ่ายเงินกองทุน!F22</f>
        <v>102701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[1]ผลการเบิกจ่ายเงินกองทุน!F21+[1]ผลการเบิกจ่ายเงินกองทุน!F23+[1]ผลการเบิกจ่ายเงินกองทุน!F24+[1]ผลการเบิกจ่ายเงินกองทุน!F25+[1]ผลการเบิกจ่ายเงินกองทุน!F26+[1]ผลการเบิกจ่ายเงินกองทุน!F27+[1]ผลการเบิกจ่ายเงินกองทุน!F28+[1]ผลการเบิกจ่ายเงินกองทุน!F29+[1]ผลการเบิกจ่ายเงินกองทุน!F30+[1]ผลการเบิกจ่ายเงินกองทุน!F31+[1]ผลการเบิกจ่ายเงินกองทุน!F32</f>
        <v>165096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IFERROR(__xludf.DUMMYFUNCTION("IMPORTRANGE(""https://docs.google.com/spreadsheets/d/1QqKyyYR6Q21VydFLVH3TRQUabQu_ym0Zz7PgGX0-kHA/edit?usp=sharing"",""แผน!HF79"")"),0)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4">I576</f>
        <v>5970</v>
      </c>
      <c r="J559" s="707">
        <f t="shared" si="244"/>
        <v>5970</v>
      </c>
      <c r="K559" s="676">
        <f t="shared" ref="K559:K561" ca="1" si="245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IFERROR(__xludf.DUMMYFUNCTION("IMPORTRANGE(""https://docs.google.com/spreadsheets/d/1QqKyyYR6Q21VydFLVH3TRQUabQu_ym0Zz7PgGX0-kHA/edit?usp=sharing"",""แผน!HH79"")"),5970)</f>
        <v>5970</v>
      </c>
      <c r="J560" s="193">
        <f t="shared" ref="J560:J561" si="246">J562+J564+J566</f>
        <v>5970</v>
      </c>
      <c r="K560" s="412">
        <f t="shared" ca="1" si="245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IFERROR(__xludf.DUMMYFUNCTION("IMPORTRANGE(""https://docs.google.com/spreadsheets/d/1QqKyyYR6Q21VydFLVH3TRQUabQu_ym0Zz7PgGX0-kHA/edit?usp=sharing"",""แผน!HG79"")"),965)</f>
        <v>965</v>
      </c>
      <c r="J561" s="193">
        <f t="shared" si="246"/>
        <v>965</v>
      </c>
      <c r="K561" s="412">
        <f t="shared" ca="1" si="245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5498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888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472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77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IFERROR(__xludf.DUMMYFUNCTION("IMPORTRANGE(""https://docs.google.com/spreadsheets/d/1QqKyyYR6Q21VydFLVH3TRQUabQu_ym0Zz7PgGX0-kHA/edit?usp=sharing"",""แผน!HH79"")"),5970)</f>
        <v>5970</v>
      </c>
      <c r="J568" s="680">
        <f t="shared" ref="J568:J569" si="247">J570+J572+J574</f>
        <v>5970</v>
      </c>
      <c r="K568" s="412">
        <f t="shared" ref="K568:K569" ca="1" si="248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IFERROR(__xludf.DUMMYFUNCTION("IMPORTRANGE(""https://docs.google.com/spreadsheets/d/1QqKyyYR6Q21VydFLVH3TRQUabQu_ym0Zz7PgGX0-kHA/edit?usp=sharing"",""แผน!HG79"")"),965)</f>
        <v>965</v>
      </c>
      <c r="J569" s="680">
        <f t="shared" si="247"/>
        <v>965</v>
      </c>
      <c r="K569" s="412">
        <f t="shared" ca="1" si="248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5498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888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472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77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IFERROR(__xludf.DUMMYFUNCTION("IMPORTRANGE(""https://docs.google.com/spreadsheets/d/1QqKyyYR6Q21VydFLVH3TRQUabQu_ym0Zz7PgGX0-kHA/edit?usp=sharing"",""แผน!HH79"")"),5970)</f>
        <v>5970</v>
      </c>
      <c r="J576" s="680">
        <f t="shared" ref="J576:J577" si="249">J578+J580+J582+J588+J590</f>
        <v>5970</v>
      </c>
      <c r="K576" s="412">
        <f t="shared" ref="K576:K577" ca="1" si="250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IFERROR(__xludf.DUMMYFUNCTION("IMPORTRANGE(""https://docs.google.com/spreadsheets/d/1QqKyyYR6Q21VydFLVH3TRQUabQu_ym0Zz7PgGX0-kHA/edit?usp=sharing"",""แผน!HG79"")"),965)</f>
        <v>965</v>
      </c>
      <c r="J577" s="680">
        <f t="shared" si="249"/>
        <v>965</v>
      </c>
      <c r="K577" s="412">
        <f t="shared" ca="1" si="250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5498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888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1">J584+J586</f>
        <v>472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1"/>
        <v>77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472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77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2">I593</f>
        <v>1078.8</v>
      </c>
      <c r="J592" s="707">
        <f t="shared" si="252"/>
        <v>1079</v>
      </c>
      <c r="K592" s="676">
        <f t="shared" ref="K592:K594" ca="1" si="253">IF(I592&gt;0,J592*100/I592,0)</f>
        <v>100.01853911753801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IFERROR(__xludf.DUMMYFUNCTION("IMPORTRANGE(""https://docs.google.com/spreadsheets/d/1QqKyyYR6Q21VydFLVH3TRQUabQu_ym0Zz7PgGX0-kHA/edit?usp=sharing"",""แผน!HJ79"")"),1078.8)</f>
        <v>1078.8</v>
      </c>
      <c r="J593" s="193">
        <f t="shared" ref="J593:J594" si="254">J595+J603+J609</f>
        <v>1079</v>
      </c>
      <c r="K593" s="412">
        <f t="shared" ca="1" si="253"/>
        <v>100.01853911753801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IFERROR(__xludf.DUMMYFUNCTION("IMPORTRANGE(""https://docs.google.com/spreadsheets/d/1QqKyyYR6Q21VydFLVH3TRQUabQu_ym0Zz7PgGX0-kHA/edit?usp=sharing"",""แผน!HI79"")"),225)</f>
        <v>225</v>
      </c>
      <c r="J594" s="193">
        <f t="shared" si="254"/>
        <v>225</v>
      </c>
      <c r="K594" s="412">
        <f t="shared" ca="1" si="253"/>
        <v>100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/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/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6">J605+J607</f>
        <v>961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6"/>
        <v>208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961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208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118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17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7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8">J614+J616</f>
        <v>0</v>
      </c>
      <c r="K612" s="716">
        <f t="shared" si="257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8"/>
        <v>0</v>
      </c>
      <c r="K613" s="716">
        <f t="shared" si="257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IFERROR(__xludf.DUMMYFUNCTION("IMPORTRANGE(""https://docs.google.com/spreadsheets/d/1QqKyyYR6Q21VydFLVH3TRQUabQu_ym0Zz7PgGX0-kHA/edit?usp=sharing"",""แผน!HL79"")"),0)</f>
        <v>0</v>
      </c>
      <c r="J620" s="727">
        <f t="shared" ref="J620:J621" si="259">J622+J624+J626</f>
        <v>0</v>
      </c>
      <c r="K620" s="728">
        <f t="shared" ref="K620:K621" ca="1" si="260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IFERROR(__xludf.DUMMYFUNCTION("IMPORTRANGE(""https://docs.google.com/spreadsheets/d/1QqKyyYR6Q21VydFLVH3TRQUabQu_ym0Zz7PgGX0-kHA/edit?usp=sharing"",""แผน!HK79"")"),0)</f>
        <v>0</v>
      </c>
      <c r="J621" s="727">
        <f t="shared" si="259"/>
        <v>0</v>
      </c>
      <c r="K621" s="728">
        <f t="shared" ca="1" si="260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1">I651</f>
        <v>7</v>
      </c>
      <c r="J628" s="740">
        <f t="shared" ca="1" si="261"/>
        <v>22</v>
      </c>
      <c r="K628" s="741">
        <f ca="1">IF(I628&gt;0,J628*100/I628,0)</f>
        <v>314.28571428571428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2">L630+L631</f>
        <v>167365</v>
      </c>
      <c r="M629" s="195">
        <f t="shared" ca="1" si="262"/>
        <v>167365</v>
      </c>
      <c r="N629" s="195">
        <f t="shared" si="262"/>
        <v>95680</v>
      </c>
      <c r="O629" s="195">
        <f t="shared" ref="O629:O634" ca="1" si="263">IF(L629&gt;0,N629*100/L629,0)</f>
        <v>57.168464135273204</v>
      </c>
      <c r="P629" s="195">
        <f t="shared" ref="P629:P634" ca="1" si="264">IF(M629&gt;0,N629*100/M629,0)</f>
        <v>57.168464135273204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5"/>
        <v>167365</v>
      </c>
      <c r="M631" s="93">
        <f t="shared" ca="1" si="265"/>
        <v>167365</v>
      </c>
      <c r="N631" s="93">
        <f t="shared" si="265"/>
        <v>95680</v>
      </c>
      <c r="O631" s="93">
        <f t="shared" ca="1" si="263"/>
        <v>57.168464135273204</v>
      </c>
      <c r="P631" s="93">
        <f t="shared" ca="1" si="264"/>
        <v>57.168464135273204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167365</v>
      </c>
      <c r="M632" s="498">
        <f t="shared" ca="1" si="266"/>
        <v>167365</v>
      </c>
      <c r="N632" s="498">
        <f t="shared" si="266"/>
        <v>95680</v>
      </c>
      <c r="O632" s="498">
        <f t="shared" ca="1" si="263"/>
        <v>57.168464135273204</v>
      </c>
      <c r="P632" s="498">
        <f t="shared" ca="1" si="264"/>
        <v>57.168464135273204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IFERROR(__xludf.DUMMYFUNCTION("IMPORTRANGE(""https://docs.google.com/spreadsheets/d/1QqKyyYR6Q21VydFLVH3TRQUabQu_ym0Zz7PgGX0-kHA/edit?usp=sharing"",""แผน!HN79"")"),167365)</f>
        <v>167365</v>
      </c>
      <c r="M634" s="93">
        <f ca="1">L634</f>
        <v>167365</v>
      </c>
      <c r="N634" s="93">
        <f>N635+N636+N637+N638</f>
        <v>95680</v>
      </c>
      <c r="O634" s="93">
        <f t="shared" ca="1" si="263"/>
        <v>57.168464135273204</v>
      </c>
      <c r="P634" s="93">
        <f t="shared" ca="1" si="264"/>
        <v>57.168464135273204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f>[1]ผลการเบิกจ่ายเงินกองทุน!F37</f>
        <v>95680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IFERROR(__xludf.DUMMYFUNCTION("IMPORTRANGE(""https://docs.google.com/spreadsheets/d/1QqKyyYR6Q21VydFLVH3TRQUabQu_ym0Zz7PgGX0-kHA/edit?usp=sharing"",""แผน!HQ79"")"),0)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IFERROR(__xludf.DUMMYFUNCTION("IMPORTRANGE(""https://docs.google.com/spreadsheets/d/1QqKyyYR6Q21VydFLVH3TRQUabQu_ym0Zz7PgGX0-kHA/edit?usp=sharing"",""แผน!HR79"")"),0)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IFERROR(__xludf.DUMMYFUNCTION("IMPORTRANGE(""https://docs.google.com/spreadsheets/d/1QqKyyYR6Q21VydFLVH3TRQUabQu_ym0Zz7PgGX0-kHA/edit?usp=sharing"",""แผน!HR79"")"),0)</f>
        <v>0</v>
      </c>
      <c r="J644" s="215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IFERROR(__xludf.DUMMYFUNCTION("IMPORTRANGE(""https://docs.google.com/spreadsheets/d/1XWAQStnk-4SwqDmLtmXYiTMKHgktTP8We1SCoS47DrQ/edit?usp=sharing"",""จัดที่ดิน!AS79"")"),23)</f>
        <v>23</v>
      </c>
      <c r="K645" s="163">
        <f t="shared" si="270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IFERROR(__xludf.DUMMYFUNCTION("IMPORTRANGE(""https://docs.google.com/spreadsheets/d/1XWAQStnk-4SwqDmLtmXYiTMKHgktTP8We1SCoS47DrQ/edit?usp=sharing"",""จัดที่ดิน!AT79"")"),5.61)</f>
        <v>5.61</v>
      </c>
      <c r="K646" s="498">
        <f t="shared" si="270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IFERROR(__xludf.DUMMYFUNCTION("IMPORTRANGE(""https://docs.google.com/spreadsheets/d/1QqKyyYR6Q21VydFLVH3TRQUabQu_ym0Zz7PgGX0-kHA/edit?usp=sharing"",""แผน!HS79"")"),7)</f>
        <v>7</v>
      </c>
      <c r="J647" s="270">
        <f ca="1">IFERROR(__xludf.DUMMYFUNCTION("IMPORTRANGE(""https://docs.google.com/spreadsheets/d/1XWAQStnk-4SwqDmLtmXYiTMKHgktTP8We1SCoS47DrQ/edit?usp=sharing"",""จัดที่ดิน!AU79"")"),22)</f>
        <v>22</v>
      </c>
      <c r="K647" s="163">
        <f t="shared" ca="1" si="270"/>
        <v>314.28571428571428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IFERROR(__xludf.DUMMYFUNCTION("IMPORTRANGE(""https://docs.google.com/spreadsheets/d/1XWAQStnk-4SwqDmLtmXYiTMKHgktTP8We1SCoS47DrQ/edit?usp=sharing"",""จัดที่ดิน!AV79"")"),5.38)</f>
        <v>5.38</v>
      </c>
      <c r="K648" s="498">
        <f t="shared" si="270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IFERROR(__xludf.DUMMYFUNCTION("IMPORTRANGE(""https://docs.google.com/spreadsheets/d/1QqKyyYR6Q21VydFLVH3TRQUabQu_ym0Zz7PgGX0-kHA/edit?usp=sharing"",""แผน!HS79"")"),7)</f>
        <v>7</v>
      </c>
      <c r="J649" s="270">
        <f ca="1">IFERROR(__xludf.DUMMYFUNCTION("IMPORTRANGE(""https://docs.google.com/spreadsheets/d/1XWAQStnk-4SwqDmLtmXYiTMKHgktTP8We1SCoS47DrQ/edit?usp=sharing"",""จัดที่ดิน!AW79"")"),22)</f>
        <v>22</v>
      </c>
      <c r="K649" s="163">
        <f t="shared" ca="1" si="270"/>
        <v>314.28571428571428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IFERROR(__xludf.DUMMYFUNCTION("IMPORTRANGE(""https://docs.google.com/spreadsheets/d/1XWAQStnk-4SwqDmLtmXYiTMKHgktTP8We1SCoS47DrQ/edit?usp=sharing"",""จัดที่ดิน!AX79"")"),5.38)</f>
        <v>5.38</v>
      </c>
      <c r="K650" s="498">
        <f t="shared" si="270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IFERROR(__xludf.DUMMYFUNCTION("IMPORTRANGE(""https://docs.google.com/spreadsheets/d/1QqKyyYR6Q21VydFLVH3TRQUabQu_ym0Zz7PgGX0-kHA/edit?usp=sharing"",""แผน!HS79"")"),7)</f>
        <v>7</v>
      </c>
      <c r="J651" s="270">
        <f ca="1">IFERROR(__xludf.DUMMYFUNCTION("IMPORTRANGE(""https://docs.google.com/spreadsheets/d/1XWAQStnk-4SwqDmLtmXYiTMKHgktTP8We1SCoS47DrQ/edit?usp=sharing"",""จัดที่ดิน!AY79"")"),22)</f>
        <v>22</v>
      </c>
      <c r="K651" s="163">
        <f t="shared" ca="1" si="270"/>
        <v>314.28571428571428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IFERROR(__xludf.DUMMYFUNCTION("IMPORTRANGE(""https://docs.google.com/spreadsheets/d/1XWAQStnk-4SwqDmLtmXYiTMKHgktTP8We1SCoS47DrQ/edit?usp=sharing"",""จัดที่ดิน!AZ79"")"),5)</f>
        <v>5</v>
      </c>
      <c r="K652" s="506">
        <f t="shared" si="270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1">I669</f>
        <v>50</v>
      </c>
      <c r="J654" s="707">
        <f t="shared" si="271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2">L656+L657</f>
        <v>11000</v>
      </c>
      <c r="M655" s="195">
        <f t="shared" ca="1" si="272"/>
        <v>11000</v>
      </c>
      <c r="N655" s="195">
        <f t="shared" si="272"/>
        <v>11000</v>
      </c>
      <c r="O655" s="195">
        <f t="shared" ref="O655:O660" ca="1" si="273">IF(L655&gt;0,N655*100/L655,0)</f>
        <v>100</v>
      </c>
      <c r="P655" s="195">
        <f t="shared" ref="P655:P660" ca="1" si="274">IF(M655&gt;0,N655*100/M655,0)</f>
        <v>100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5"/>
        <v>11000</v>
      </c>
      <c r="M657" s="93">
        <f t="shared" ca="1" si="275"/>
        <v>11000</v>
      </c>
      <c r="N657" s="93">
        <f t="shared" si="275"/>
        <v>11000</v>
      </c>
      <c r="O657" s="93">
        <f t="shared" ca="1" si="273"/>
        <v>100</v>
      </c>
      <c r="P657" s="93">
        <f t="shared" ca="1" si="274"/>
        <v>100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11000</v>
      </c>
      <c r="M658" s="498">
        <f t="shared" ca="1" si="276"/>
        <v>11000</v>
      </c>
      <c r="N658" s="498">
        <f t="shared" si="276"/>
        <v>11000</v>
      </c>
      <c r="O658" s="498">
        <f t="shared" ca="1" si="273"/>
        <v>100</v>
      </c>
      <c r="P658" s="498">
        <f t="shared" ca="1" si="274"/>
        <v>100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IFERROR(__xludf.DUMMYFUNCTION("IMPORTRANGE(""https://docs.google.com/spreadsheets/d/1QqKyyYR6Q21VydFLVH3TRQUabQu_ym0Zz7PgGX0-kHA/edit?usp=sharing"",""แผน!HV79"")"),11000)</f>
        <v>11000</v>
      </c>
      <c r="M660" s="93">
        <f ca="1">L660</f>
        <v>11000</v>
      </c>
      <c r="N660" s="93">
        <f>N661+N662+N663+N664</f>
        <v>11000</v>
      </c>
      <c r="O660" s="93">
        <f t="shared" ca="1" si="273"/>
        <v>100</v>
      </c>
      <c r="P660" s="93">
        <f t="shared" ca="1" si="274"/>
        <v>100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f>[1]ผลการเบิกจ่ายเงินกองทุน!F12</f>
        <v>11000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IFERROR(__xludf.DUMMYFUNCTION("IMPORTRANGE(""https://docs.google.com/spreadsheets/d/1QqKyyYR6Q21VydFLVH3TRQUabQu_ym0Zz7PgGX0-kHA/edit?usp=sharing"",""แผน!IA79"")"),50)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IFERROR(__xludf.DUMMYFUNCTION("IMPORTRANGE(""https://docs.google.com/spreadsheets/d/1QqKyyYR6Q21VydFLVH3TRQUabQu_ym0Zz7PgGX0-kHA/edit?usp=sharing"",""แผน!HZ79"")"),5)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IFERROR(__xludf.DUMMYFUNCTION("IMPORTRANGE(""https://docs.google.com/spreadsheets/d/1QqKyyYR6Q21VydFLVH3TRQUabQu_ym0Zz7PgGX0-kHA/edit?usp=sharing"",""แผน!HZ79"")"),5)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57</v>
      </c>
      <c r="K672" s="498">
        <f t="shared" ref="K672:K675" ca="1" si="280">IF(I$669&gt;0,J672*100/I$669,0)</f>
        <v>114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57</v>
      </c>
      <c r="K673" s="498">
        <f t="shared" ca="1" si="280"/>
        <v>114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IFERROR(__xludf.DUMMYFUNCTION("IMPORTRANGE(""https://docs.google.com/spreadsheets/d/1QqKyyYR6Q21VydFLVH3TRQUabQu_ym0Zz7PgGX0-kHA/edit?usp=sharing"",""แผน!IB79"")"),0)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1">L686+L687</f>
        <v>37480</v>
      </c>
      <c r="M685" s="195">
        <f t="shared" ca="1" si="281"/>
        <v>37480</v>
      </c>
      <c r="N685" s="195">
        <f t="shared" si="281"/>
        <v>10400</v>
      </c>
      <c r="O685" s="195">
        <f t="shared" ref="O685:O688" ca="1" si="282">IF(L685&gt;0,N685*100/L685,0)</f>
        <v>27.748132337246531</v>
      </c>
      <c r="P685" s="195">
        <f t="shared" ref="P685:P688" ca="1" si="283">IF(M685&gt;0,N685*100/M685,0)</f>
        <v>27.748132337246531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4"/>
        <v>37480</v>
      </c>
      <c r="M687" s="93">
        <f t="shared" ca="1" si="284"/>
        <v>37480</v>
      </c>
      <c r="N687" s="93">
        <f t="shared" si="284"/>
        <v>10400</v>
      </c>
      <c r="O687" s="93">
        <f t="shared" ca="1" si="282"/>
        <v>27.748132337246531</v>
      </c>
      <c r="P687" s="93">
        <f t="shared" ca="1" si="283"/>
        <v>27.748132337246531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37480</v>
      </c>
      <c r="M688" s="498">
        <f t="shared" ca="1" si="285"/>
        <v>37480</v>
      </c>
      <c r="N688" s="498">
        <f t="shared" si="285"/>
        <v>10400</v>
      </c>
      <c r="O688" s="498">
        <f t="shared" ca="1" si="282"/>
        <v>27.748132337246531</v>
      </c>
      <c r="P688" s="498">
        <f t="shared" ca="1" si="283"/>
        <v>27.748132337246531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IFERROR(__xludf.DUMMYFUNCTION("IMPORTRANGE(""https://docs.google.com/spreadsheets/d/1QqKyyYR6Q21VydFLVH3TRQUabQu_ym0Zz7PgGX0-kHA/edit?usp=sharing"",""แผน!HW79"")"),37480)</f>
        <v>37480</v>
      </c>
      <c r="M690" s="93">
        <f ca="1">L690</f>
        <v>37480</v>
      </c>
      <c r="N690" s="93">
        <f>N691+N692+N693+N694</f>
        <v>10400</v>
      </c>
      <c r="O690" s="93">
        <f ca="1">IF(L690&gt;0,N690*100/L690,0)</f>
        <v>27.748132337246531</v>
      </c>
      <c r="P690" s="93">
        <f ca="1">IF(M690&gt;0,N690*100/M690,0)</f>
        <v>27.748132337246531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f>[1]ผลการเบิกจ่ายเงินกองทุน!F7</f>
        <v>10400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IFERROR(__xludf.DUMMYFUNCTION("IMPORTRANGE(""https://docs.google.com/spreadsheets/d/1QqKyyYR6Q21VydFLVH3TRQUabQu_ym0Zz7PgGX0-kHA/edit?usp=sharing"",""แผน!IC79"")"),248)</f>
        <v>248</v>
      </c>
      <c r="J699" s="270">
        <f ca="1">IFERROR(__xludf.DUMMYFUNCTION("IMPORTRANGE(""https://docs.google.com/spreadsheets/d/1XWAQStnk-4SwqDmLtmXYiTMKHgktTP8We1SCoS47DrQ/edit?usp=sharing"",""จัดที่ดิน!BB79"")"),106.92)</f>
        <v>106.92</v>
      </c>
      <c r="K699" s="498">
        <f t="shared" ref="K699:K701" ca="1" si="289">IF(I699&gt;0,J699*100/I699,0)</f>
        <v>43.112903225806448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IFERROR(__xludf.DUMMYFUNCTION("IMPORTRANGE(""https://docs.google.com/spreadsheets/d/1QqKyyYR6Q21VydFLVH3TRQUabQu_ym0Zz7PgGX0-kHA/edit?usp=sharing"",""แผน!ID79"")"),56)</f>
        <v>56</v>
      </c>
      <c r="J700" s="270">
        <f ca="1">IFERROR(__xludf.DUMMYFUNCTION("IMPORTRANGE(""https://docs.google.com/spreadsheets/d/1XWAQStnk-4SwqDmLtmXYiTMKHgktTP8We1SCoS47DrQ/edit?usp=sharing"",""จัดที่ดิน!BD79"")"),0)</f>
        <v>0</v>
      </c>
      <c r="K700" s="498">
        <f t="shared" ca="1" si="289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IFERROR(__xludf.DUMMYFUNCTION("IMPORTRANGE(""https://docs.google.com/spreadsheets/d/1QqKyyYR6Q21VydFLVH3TRQUabQu_ym0Zz7PgGX0-kHA/edit?usp=sharing"",""แผน!IE79"")"),0)</f>
        <v>0</v>
      </c>
      <c r="J701" s="680">
        <f>J704+J707</f>
        <v>0</v>
      </c>
      <c r="K701" s="195">
        <f t="shared" ca="1" si="289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IFERROR(__xludf.DUMMYFUNCTION("IMPORTRANGE(""https://docs.google.com/spreadsheets/d/1QqKyyYR6Q21VydFLVH3TRQUabQu_ym0Zz7PgGX0-kHA/edit?usp=sharing"",""แผน!IF79"")"),0)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IFERROR(__xludf.DUMMYFUNCTION("IMPORTRANGE(""https://docs.google.com/spreadsheets/d/1QqKyyYR6Q21VydFLVH3TRQUabQu_ym0Zz7PgGX0-kHA/edit?usp=sharing"",""แผน!IG79"")"),0)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IFERROR(__xludf.DUMMYFUNCTION("IMPORTRANGE(""https://docs.google.com/spreadsheets/d/1QqKyyYR6Q21VydFLVH3TRQUabQu_ym0Zz7PgGX0-kHA/edit?usp=sharing"",""แผน!IH79"")"),0)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IFERROR(__xludf.DUMMYFUNCTION("IMPORTRANGE(""https://docs.google.com/spreadsheets/d/1XWAQStnk-4SwqDmLtmXYiTMKHgktTP8We1SCoS47DrQ/edit?usp=sharing"",""จัดที่ดิน!BF79"")"),0)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IFERROR(__xludf.DUMMYFUNCTION("IMPORTRANGE(""https://docs.google.com/spreadsheets/d/1XWAQStnk-4SwqDmLtmXYiTMKHgktTP8We1SCoS47DrQ/edit?usp=sharing"",""จัดที่ดิน!BG79"")"),0)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IFERROR(__xludf.DUMMYFUNCTION("IMPORTRANGE(""https://docs.google.com/spreadsheets/d/1QqKyyYR6Q21VydFLVH3TRQUabQu_ym0Zz7PgGX0-kHA/edit?usp=sharing"",""แผน!II79"")"),0)</f>
        <v>0</v>
      </c>
      <c r="J720" s="270">
        <f ca="1">IFERROR(__xludf.DUMMYFUNCTION("IMPORTRANGE(""https://docs.google.com/spreadsheets/d/1XWAQStnk-4SwqDmLtmXYiTMKHgktTP8We1SCoS47DrQ/edit?usp=sharing"",""จัดที่ดิน!BH79"")"),0)</f>
        <v>0</v>
      </c>
      <c r="K720" s="498">
        <f t="shared" ref="K720:K723" ca="1" si="290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IFERROR(__xludf.DUMMYFUNCTION("IMPORTRANGE(""https://docs.google.com/spreadsheets/d/1QqKyyYR6Q21VydFLVH3TRQUabQu_ym0Zz7PgGX0-kHA/edit?usp=sharing"",""แผน!IJ79"")"),0)</f>
        <v>0</v>
      </c>
      <c r="J721" s="680">
        <f ca="1">J723+J726</f>
        <v>0</v>
      </c>
      <c r="K721" s="195">
        <f t="shared" ca="1" si="290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IFERROR(__xludf.DUMMYFUNCTION("IMPORTRANGE(""https://docs.google.com/spreadsheets/d/1QqKyyYR6Q21VydFLVH3TRQUabQu_ym0Zz7PgGX0-kHA/edit?usp=sharing"",""แผน!IK79"")"),0)</f>
        <v>0</v>
      </c>
      <c r="J722" s="680">
        <f ca="1">J725+J728</f>
        <v>0</v>
      </c>
      <c r="K722" s="195">
        <f t="shared" ca="1" si="290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IFERROR(__xludf.DUMMYFUNCTION("IMPORTRANGE(""https://docs.google.com/spreadsheets/d/1QqKyyYR6Q21VydFLVH3TRQUabQu_ym0Zz7PgGX0-kHA/edit?usp=sharing"",""แผน!IL79"")"),0)</f>
        <v>0</v>
      </c>
      <c r="J723" s="270">
        <f ca="1">IFERROR(__xludf.DUMMYFUNCTION("IMPORTRANGE(""https://docs.google.com/spreadsheets/d/1XWAQStnk-4SwqDmLtmXYiTMKHgktTP8We1SCoS47DrQ/edit?usp=sharing"",""จัดที่ดิน!BM79"")"),0)</f>
        <v>0</v>
      </c>
      <c r="K723" s="498">
        <f t="shared" ca="1" si="290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IFERROR(__xludf.DUMMYFUNCTION("IMPORTRANGE(""https://docs.google.com/spreadsheets/d/1XWAQStnk-4SwqDmLtmXYiTMKHgktTP8We1SCoS47DrQ/edit?usp=sharing"",""จัดที่ดิน!BN79"")"),0)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IFERROR(__xludf.DUMMYFUNCTION("IMPORTRANGE(""https://docs.google.com/spreadsheets/d/1QqKyyYR6Q21VydFLVH3TRQUabQu_ym0Zz7PgGX0-kHA/edit?usp=sharing"",""แผน!IM79"")"),0)</f>
        <v>0</v>
      </c>
      <c r="J725" s="270">
        <f ca="1">IFERROR(__xludf.DUMMYFUNCTION("IMPORTRANGE(""https://docs.google.com/spreadsheets/d/1XWAQStnk-4SwqDmLtmXYiTMKHgktTP8We1SCoS47DrQ/edit?usp=sharing"",""จัดที่ดิน!BO79"")"),0)</f>
        <v>0</v>
      </c>
      <c r="K725" s="498">
        <f t="shared" ref="K725:K726" ca="1" si="291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IFERROR(__xludf.DUMMYFUNCTION("IMPORTRANGE(""https://docs.google.com/spreadsheets/d/1QqKyyYR6Q21VydFLVH3TRQUabQu_ym0Zz7PgGX0-kHA/edit?usp=sharing"",""แผน!IN79"")"),0)</f>
        <v>0</v>
      </c>
      <c r="J726" s="270">
        <f ca="1">IFERROR(__xludf.DUMMYFUNCTION("IMPORTRANGE(""https://docs.google.com/spreadsheets/d/1XWAQStnk-4SwqDmLtmXYiTMKHgktTP8We1SCoS47DrQ/edit?usp=sharing"",""จัดที่ดิน!BR79"")"),0)</f>
        <v>0</v>
      </c>
      <c r="K726" s="498">
        <f t="shared" ca="1" si="291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IFERROR(__xludf.DUMMYFUNCTION("IMPORTRANGE(""https://docs.google.com/spreadsheets/d/1XWAQStnk-4SwqDmLtmXYiTMKHgktTP8We1SCoS47DrQ/edit?usp=sharing"",""จัดที่ดิน!BS79"")"),0)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IFERROR(__xludf.DUMMYFUNCTION("IMPORTRANGE(""https://docs.google.com/spreadsheets/d/1QqKyyYR6Q21VydFLVH3TRQUabQu_ym0Zz7PgGX0-kHA/edit?usp=sharing"",""แผน!IO79"")"),0)</f>
        <v>0</v>
      </c>
      <c r="J728" s="270">
        <f ca="1">IFERROR(__xludf.DUMMYFUNCTION("IMPORTRANGE(""https://docs.google.com/spreadsheets/d/1XWAQStnk-4SwqDmLtmXYiTMKHgktTP8We1SCoS47DrQ/edit?usp=sharing"",""จัดที่ดิน!BT79"")"),0)</f>
        <v>0</v>
      </c>
      <c r="K728" s="498">
        <f t="shared" ref="K728:K729" ca="1" si="292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IFERROR(__xludf.DUMMYFUNCTION("IMPORTRANGE(""https://docs.google.com/spreadsheets/d/1QqKyyYR6Q21VydFLVH3TRQUabQu_ym0Zz7PgGX0-kHA/edit?usp=sharing"",""แผน!IP79"")"),0)</f>
        <v>0</v>
      </c>
      <c r="J729" s="680">
        <f>J732+J735</f>
        <v>0</v>
      </c>
      <c r="K729" s="195">
        <f t="shared" ca="1" si="292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3">L738+L739</f>
        <v>0</v>
      </c>
      <c r="M737" s="646">
        <f t="shared" si="293"/>
        <v>0</v>
      </c>
      <c r="N737" s="646">
        <f t="shared" si="293"/>
        <v>0</v>
      </c>
      <c r="O737" s="646">
        <f t="shared" ref="O737:O742" si="294">IF(L737&gt;0,N737*100/L737,0)</f>
        <v>0</v>
      </c>
      <c r="P737" s="646">
        <f t="shared" ref="P737:P742" si="29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7">L741+L742</f>
        <v>0</v>
      </c>
      <c r="M740" s="646">
        <f t="shared" si="297"/>
        <v>0</v>
      </c>
      <c r="N740" s="646">
        <f t="shared" si="297"/>
        <v>0</v>
      </c>
      <c r="O740" s="646">
        <f t="shared" si="294"/>
        <v>0</v>
      </c>
      <c r="P740" s="646">
        <f t="shared" si="29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8">L748+L749</f>
        <v>0</v>
      </c>
      <c r="M747" s="646">
        <f t="shared" si="298"/>
        <v>0</v>
      </c>
      <c r="N747" s="646">
        <f t="shared" si="298"/>
        <v>0</v>
      </c>
      <c r="O747" s="646">
        <f t="shared" ref="O747:O749" si="299">IF(L747&gt;0,N747*100/L747,0)</f>
        <v>0</v>
      </c>
      <c r="P747" s="646">
        <f t="shared" ref="P747:P749" si="300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1">L755+L756</f>
        <v>0</v>
      </c>
      <c r="M754" s="646">
        <f t="shared" si="301"/>
        <v>0</v>
      </c>
      <c r="N754" s="646">
        <f t="shared" si="301"/>
        <v>0</v>
      </c>
      <c r="O754" s="646">
        <f t="shared" ref="O754:O759" si="302">IF(L754&gt;0,N754*100/L754,0)</f>
        <v>0</v>
      </c>
      <c r="P754" s="646">
        <f t="shared" ref="P754:P759" si="303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5">L758+L759</f>
        <v>0</v>
      </c>
      <c r="M757" s="646">
        <f t="shared" si="305"/>
        <v>0</v>
      </c>
      <c r="N757" s="646">
        <f t="shared" si="305"/>
        <v>0</v>
      </c>
      <c r="O757" s="646">
        <f t="shared" si="302"/>
        <v>0</v>
      </c>
      <c r="P757" s="646">
        <f t="shared" si="303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6">L765+L766</f>
        <v>0</v>
      </c>
      <c r="M764" s="646">
        <f t="shared" si="306"/>
        <v>0</v>
      </c>
      <c r="N764" s="646">
        <f t="shared" si="306"/>
        <v>0</v>
      </c>
      <c r="O764" s="646">
        <f t="shared" ref="O764:O766" si="307">IF(L764&gt;0,N764*100/L764,0)</f>
        <v>0</v>
      </c>
      <c r="P764" s="646">
        <f t="shared" ref="P764:P766" si="308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09">L771+L772</f>
        <v>0</v>
      </c>
      <c r="M770" s="646">
        <f t="shared" si="309"/>
        <v>0</v>
      </c>
      <c r="N770" s="646">
        <f t="shared" si="309"/>
        <v>0</v>
      </c>
      <c r="O770" s="646">
        <f t="shared" ref="O770:O775" si="310">IF(L770&gt;0,N770*100/L770,0)</f>
        <v>0</v>
      </c>
      <c r="P770" s="646">
        <f t="shared" ref="P770:P775" si="311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3">L774+L775</f>
        <v>0</v>
      </c>
      <c r="M773" s="646">
        <f t="shared" si="313"/>
        <v>0</v>
      </c>
      <c r="N773" s="646">
        <f t="shared" si="313"/>
        <v>0</v>
      </c>
      <c r="O773" s="646">
        <f t="shared" si="310"/>
        <v>0</v>
      </c>
      <c r="P773" s="646">
        <f t="shared" si="311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4">L781+L782</f>
        <v>0</v>
      </c>
      <c r="M780" s="646">
        <f t="shared" si="314"/>
        <v>0</v>
      </c>
      <c r="N780" s="646">
        <f t="shared" si="314"/>
        <v>0</v>
      </c>
      <c r="O780" s="646">
        <f t="shared" ref="O780:O782" si="315">IF(L780&gt;0,N780*100/L780,0)</f>
        <v>0</v>
      </c>
      <c r="P780" s="646">
        <f t="shared" ref="P780:P782" si="316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7">I800</f>
        <v>0</v>
      </c>
      <c r="J785" s="807">
        <f t="shared" ca="1" si="317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IFERROR(__xludf.DUMMYFUNCTION("IMPORTRANGE(""https://docs.google.com/spreadsheets/d/1QqKyyYR6Q21VydFLVH3TRQUabQu_ym0Zz7PgGX0-kHA/edit?usp=sharing"",""แผน!JJ79"")"),0)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IFERROR(__xludf.DUMMYFUNCTION("IMPORTRANGE(""https://docs.google.com/spreadsheets/d/1QqKyyYR6Q21VydFLVH3TRQUabQu_ym0Zz7PgGX0-kHA/edit?usp=sharing"",""แผน!JN79"")"),0)</f>
        <v>0</v>
      </c>
      <c r="J800" s="184">
        <f ca="1">IFERROR(__xludf.DUMMYFUNCTION("IMPORTRANGE(""https://docs.google.com/spreadsheets/d/1MaWodYyGHDf7siQLGxnXhG4mBNTNIuy296niS2xXulU/edit?usp=sharing"",""RTK!H79"")"),0)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IFERROR(__xludf.DUMMYFUNCTION("IMPORTRANGE(""https://docs.google.com/spreadsheets/d/1MaWodYyGHDf7siQLGxnXhG4mBNTNIuy296niS2xXulU/edit?usp=sharing"",""RTK!I79"")"),0)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6">L806+L807</f>
        <v>0</v>
      </c>
      <c r="M805" s="646">
        <f t="shared" si="326"/>
        <v>0</v>
      </c>
      <c r="N805" s="646">
        <f t="shared" si="326"/>
        <v>0</v>
      </c>
      <c r="O805" s="646">
        <f t="shared" ref="O805:O810" si="327">IF(L805&gt;0,N805*100/L805,0)</f>
        <v>0</v>
      </c>
      <c r="P805" s="646">
        <f t="shared" ref="P805:P810" si="328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0">L809+L810</f>
        <v>0</v>
      </c>
      <c r="M808" s="646">
        <f t="shared" si="330"/>
        <v>0</v>
      </c>
      <c r="N808" s="646">
        <f t="shared" si="330"/>
        <v>0</v>
      </c>
      <c r="O808" s="646">
        <f t="shared" si="327"/>
        <v>0</v>
      </c>
      <c r="P808" s="646">
        <f t="shared" si="328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1">L816+L817</f>
        <v>0</v>
      </c>
      <c r="M815" s="646">
        <f t="shared" si="331"/>
        <v>0</v>
      </c>
      <c r="N815" s="646">
        <f t="shared" si="331"/>
        <v>0</v>
      </c>
      <c r="O815" s="646">
        <f t="shared" ref="O815:O817" si="332">IF(L815&gt;0,N815*100/L815,0)</f>
        <v>0</v>
      </c>
      <c r="P815" s="646">
        <f t="shared" ref="P815:P817" si="333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341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IFERROR(__xludf.DUMMYFUNCTION("IMPORTRANGE(""https://docs.google.com/spreadsheets/d/19vJNZY_5yjcGF2XGBMNZRCAIB0Kwfpjp8YEOfu-bneM/edit?usp=sharing"",""งานกองทุน!D79"")"),345143.53)</f>
        <v>345143.53</v>
      </c>
      <c r="J821" s="270">
        <f ca="1">IFERROR(__xludf.DUMMYFUNCTION("IMPORTRANGE(""https://docs.google.com/spreadsheets/d/19vJNZY_5yjcGF2XGBMNZRCAIB0Kwfpjp8YEOfu-bneM/edit?usp=sharing"",""งานกองทุน!F79"")"),315346.52)</f>
        <v>315346.52</v>
      </c>
      <c r="K821" s="498">
        <f t="shared" ref="K821:K828" ca="1" si="334">IF(I821&gt;0,J821*100/I821,0)</f>
        <v>91.366777178178594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IFERROR(__xludf.DUMMYFUNCTION("IMPORTRANGE(""https://docs.google.com/spreadsheets/d/19vJNZY_5yjcGF2XGBMNZRCAIB0Kwfpjp8YEOfu-bneM/edit?usp=sharing"",""งานกองทุน!C79"")"),29)</f>
        <v>29</v>
      </c>
      <c r="J822" s="270">
        <f ca="1">IFERROR(__xludf.DUMMYFUNCTION("IMPORTRANGE(""https://docs.google.com/spreadsheets/d/19vJNZY_5yjcGF2XGBMNZRCAIB0Kwfpjp8YEOfu-bneM/edit?usp=sharing"",""งานกองทุน!E79"")"),27)</f>
        <v>27</v>
      </c>
      <c r="K822" s="498">
        <f t="shared" ca="1" si="334"/>
        <v>93.103448275862064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IFERROR(__xludf.DUMMYFUNCTION("IMPORTRANGE(""https://docs.google.com/spreadsheets/d/19vJNZY_5yjcGF2XGBMNZRCAIB0Kwfpjp8YEOfu-bneM/edit?usp=sharing"",""งานกองทุน!I79"")"),244042.17)</f>
        <v>244042.17</v>
      </c>
      <c r="J823" s="270">
        <f ca="1">IFERROR(__xludf.DUMMYFUNCTION("IMPORTRANGE(""https://docs.google.com/spreadsheets/d/19vJNZY_5yjcGF2XGBMNZRCAIB0Kwfpjp8YEOfu-bneM/edit?usp=sharing"",""งานกองทุน!K79"")"),27062.91)</f>
        <v>27062.91</v>
      </c>
      <c r="K823" s="498">
        <f t="shared" ca="1" si="334"/>
        <v>11.089439993096274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IFERROR(__xludf.DUMMYFUNCTION("IMPORTRANGE(""https://docs.google.com/spreadsheets/d/19vJNZY_5yjcGF2XGBMNZRCAIB0Kwfpjp8YEOfu-bneM/edit?usp=sharing"",""งานกองทุน!H79"")"),9)</f>
        <v>9</v>
      </c>
      <c r="J824" s="270">
        <f ca="1">IFERROR(__xludf.DUMMYFUNCTION("IMPORTRANGE(""https://docs.google.com/spreadsheets/d/19vJNZY_5yjcGF2XGBMNZRCAIB0Kwfpjp8YEOfu-bneM/edit?usp=sharing"",""งานกองทุน!J79"")"),9)</f>
        <v>9</v>
      </c>
      <c r="K824" s="498">
        <f t="shared" ca="1" si="334"/>
        <v>100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IFERROR(__xludf.DUMMYFUNCTION("IMPORTRANGE(""https://docs.google.com/spreadsheets/d/19vJNZY_5yjcGF2XGBMNZRCAIB0Kwfpjp8YEOfu-bneM/edit?usp=sharing"",""งานกองทุน!N79"")"),91681.58)</f>
        <v>91681.58</v>
      </c>
      <c r="J825" s="270">
        <f ca="1">IFERROR(__xludf.DUMMYFUNCTION("IMPORTRANGE(""https://docs.google.com/spreadsheets/d/19vJNZY_5yjcGF2XGBMNZRCAIB0Kwfpjp8YEOfu-bneM/edit?usp=sharing"",""งานกองทุน!P79"")"),53162.39)</f>
        <v>53162.39</v>
      </c>
      <c r="K825" s="498">
        <f t="shared" ca="1" si="334"/>
        <v>57.985900766544383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IFERROR(__xludf.DUMMYFUNCTION("IMPORTRANGE(""https://docs.google.com/spreadsheets/d/19vJNZY_5yjcGF2XGBMNZRCAIB0Kwfpjp8YEOfu-bneM/edit?usp=sharing"",""งานกองทุน!M79"")"),172)</f>
        <v>172</v>
      </c>
      <c r="J826" s="270">
        <f ca="1">IFERROR(__xludf.DUMMYFUNCTION("IMPORTRANGE(""https://docs.google.com/spreadsheets/d/19vJNZY_5yjcGF2XGBMNZRCAIB0Kwfpjp8YEOfu-bneM/edit?usp=sharing"",""งานกองทุน!O79"")"),91)</f>
        <v>91</v>
      </c>
      <c r="K826" s="498">
        <f t="shared" ca="1" si="334"/>
        <v>52.906976744186046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IFERROR(__xludf.DUMMYFUNCTION("IMPORTRANGE(""https://docs.google.com/spreadsheets/d/19vJNZY_5yjcGF2XGBMNZRCAIB0Kwfpjp8YEOfu-bneM/edit?usp=sharing"",""งานกองทุน!S79"")"),330000)</f>
        <v>330000</v>
      </c>
      <c r="J827" s="270">
        <f ca="1">IFERROR(__xludf.DUMMYFUNCTION("IMPORTRANGE(""https://docs.google.com/spreadsheets/d/19vJNZY_5yjcGF2XGBMNZRCAIB0Kwfpjp8YEOfu-bneM/edit?usp=sharing"",""งานกองทุน!U79"")"),300000)</f>
        <v>300000</v>
      </c>
      <c r="K827" s="498">
        <f t="shared" ca="1" si="334"/>
        <v>90.909090909090907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IFERROR(__xludf.DUMMYFUNCTION("IMPORTRANGE(""https://docs.google.com/spreadsheets/d/19vJNZY_5yjcGF2XGBMNZRCAIB0Kwfpjp8YEOfu-bneM/edit?usp=sharing"",""งานกองทุน!R79"")"),13)</f>
        <v>13</v>
      </c>
      <c r="J828" s="505">
        <f ca="1">IFERROR(__xludf.DUMMYFUNCTION("IMPORTRANGE(""https://docs.google.com/spreadsheets/d/19vJNZY_5yjcGF2XGBMNZRCAIB0Kwfpjp8YEOfu-bneM/edit?usp=sharing"",""งานกองทุน!T79"")"),10)</f>
        <v>10</v>
      </c>
      <c r="K828" s="506">
        <f t="shared" ca="1" si="334"/>
        <v>76.92307692307692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D2F16-0412-4EFF-9F55-8F1496DBCD08}">
  <sheetPr>
    <outlinePr summaryBelow="0" summaryRight="0"/>
    <pageSetUpPr fitToPage="1"/>
  </sheetPr>
  <dimension ref="A1:Z828"/>
  <sheetViews>
    <sheetView view="pageBreakPreview" zoomScale="60" zoomScaleNormal="100" workbookViewId="0">
      <pane ySplit="7" topLeftCell="A8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342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3009713</v>
      </c>
      <c r="M8" s="22">
        <f t="shared" ca="1" si="0"/>
        <v>3182301</v>
      </c>
      <c r="N8" s="22">
        <f t="shared" ca="1" si="0"/>
        <v>2247760.6800000002</v>
      </c>
      <c r="O8" s="22">
        <f t="shared" ref="O8:O16" ca="1" si="1">IF(L8&gt;0,N8*100/L8,0)</f>
        <v>74.683555541674579</v>
      </c>
      <c r="P8" s="22">
        <f t="shared" ref="P8:P16" ca="1" si="2">IF(M8&gt;0,N8*100/M8,0)</f>
        <v>70.63318900380574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3009713</v>
      </c>
      <c r="M10" s="30">
        <f t="shared" ca="1" si="3"/>
        <v>3182301</v>
      </c>
      <c r="N10" s="30">
        <f t="shared" ca="1" si="3"/>
        <v>2247760.6800000002</v>
      </c>
      <c r="O10" s="30">
        <f t="shared" ca="1" si="1"/>
        <v>74.683555541674579</v>
      </c>
      <c r="P10" s="30">
        <f t="shared" ca="1" si="2"/>
        <v>70.63318900380574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2933713</v>
      </c>
      <c r="M11" s="498">
        <f t="shared" ca="1" si="4"/>
        <v>3106301</v>
      </c>
      <c r="N11" s="498">
        <f t="shared" ca="1" si="4"/>
        <v>2171760.6800000002</v>
      </c>
      <c r="O11" s="498">
        <f t="shared" ca="1" si="1"/>
        <v>74.027714367424494</v>
      </c>
      <c r="P11" s="498">
        <f t="shared" ca="1" si="2"/>
        <v>69.914688885590948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2933713</v>
      </c>
      <c r="M13" s="93">
        <f t="shared" ca="1" si="5"/>
        <v>3106301</v>
      </c>
      <c r="N13" s="93">
        <f t="shared" ca="1" si="5"/>
        <v>2171760.6800000002</v>
      </c>
      <c r="O13" s="93">
        <f t="shared" ca="1" si="1"/>
        <v>74.027714367424494</v>
      </c>
      <c r="P13" s="93">
        <f t="shared" ca="1" si="2"/>
        <v>69.914688885590948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76000</v>
      </c>
      <c r="M14" s="498">
        <f t="shared" ca="1" si="6"/>
        <v>76000</v>
      </c>
      <c r="N14" s="498">
        <f t="shared" ca="1" si="6"/>
        <v>76000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2425392</v>
      </c>
      <c r="M18" s="22">
        <f t="shared" ca="1" si="8"/>
        <v>2597980</v>
      </c>
      <c r="N18" s="22">
        <f t="shared" ca="1" si="8"/>
        <v>1981284.6800000002</v>
      </c>
      <c r="O18" s="22">
        <f t="shared" ref="O18:O26" ca="1" si="9">IF(L18&gt;0,N18*100/L18,0)</f>
        <v>81.68925600480253</v>
      </c>
      <c r="P18" s="22">
        <f t="shared" ref="P18:P26" ca="1" si="10">IF(M18&gt;0,N18*100/M18,0)</f>
        <v>76.262507024688418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2425392</v>
      </c>
      <c r="M20" s="30">
        <f t="shared" ca="1" si="11"/>
        <v>2597980</v>
      </c>
      <c r="N20" s="30">
        <f t="shared" ca="1" si="11"/>
        <v>1981284.6800000002</v>
      </c>
      <c r="O20" s="30">
        <f t="shared" ca="1" si="9"/>
        <v>81.68925600480253</v>
      </c>
      <c r="P20" s="30">
        <f t="shared" ca="1" si="10"/>
        <v>76.262507024688418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2349392</v>
      </c>
      <c r="M21" s="498">
        <f t="shared" ca="1" si="12"/>
        <v>2521980</v>
      </c>
      <c r="N21" s="498">
        <f t="shared" ca="1" si="12"/>
        <v>1905284.6800000002</v>
      </c>
      <c r="O21" s="498">
        <f t="shared" ca="1" si="9"/>
        <v>81.096925502427879</v>
      </c>
      <c r="P21" s="498">
        <f t="shared" ca="1" si="10"/>
        <v>75.547176424872532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2349392</v>
      </c>
      <c r="M23" s="93">
        <f t="shared" ca="1" si="13"/>
        <v>2521980</v>
      </c>
      <c r="N23" s="93">
        <f t="shared" ca="1" si="13"/>
        <v>1905284.6800000002</v>
      </c>
      <c r="O23" s="93">
        <f t="shared" ca="1" si="9"/>
        <v>81.096925502427879</v>
      </c>
      <c r="P23" s="93">
        <f t="shared" ca="1" si="10"/>
        <v>75.547176424872532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76000</v>
      </c>
      <c r="M24" s="498">
        <f t="shared" ca="1" si="14"/>
        <v>76000</v>
      </c>
      <c r="N24" s="498">
        <f t="shared" ca="1" si="14"/>
        <v>76000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584321</v>
      </c>
      <c r="M28" s="22">
        <f t="shared" ca="1" si="16"/>
        <v>584321</v>
      </c>
      <c r="N28" s="22">
        <f t="shared" si="16"/>
        <v>266476</v>
      </c>
      <c r="O28" s="22">
        <f t="shared" ref="O28:O37" ca="1" si="17">IF(L28&gt;0,N28*100/L28,0)</f>
        <v>45.604385260841212</v>
      </c>
      <c r="P28" s="22">
        <f t="shared" ref="P28:P37" ca="1" si="18">IF(M28&gt;0,N28*100/M28,0)</f>
        <v>45.604385260841212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584321</v>
      </c>
      <c r="M30" s="30">
        <f t="shared" ca="1" si="19"/>
        <v>584321</v>
      </c>
      <c r="N30" s="30">
        <f t="shared" si="19"/>
        <v>266476</v>
      </c>
      <c r="O30" s="30">
        <f t="shared" ca="1" si="17"/>
        <v>45.604385260841212</v>
      </c>
      <c r="P30" s="30">
        <f t="shared" ca="1" si="18"/>
        <v>45.604385260841212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584321</v>
      </c>
      <c r="M31" s="498">
        <f t="shared" ca="1" si="20"/>
        <v>584321</v>
      </c>
      <c r="N31" s="498">
        <f t="shared" si="20"/>
        <v>266476</v>
      </c>
      <c r="O31" s="498">
        <f t="shared" ca="1" si="17"/>
        <v>45.604385260841212</v>
      </c>
      <c r="P31" s="498">
        <f t="shared" ca="1" si="18"/>
        <v>45.604385260841212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584321</v>
      </c>
      <c r="M33" s="93">
        <f t="shared" ca="1" si="21"/>
        <v>584321</v>
      </c>
      <c r="N33" s="93">
        <f t="shared" si="21"/>
        <v>266476</v>
      </c>
      <c r="O33" s="93">
        <f t="shared" ca="1" si="17"/>
        <v>45.604385260841212</v>
      </c>
      <c r="P33" s="93">
        <f t="shared" ca="1" si="18"/>
        <v>45.604385260841212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2425392</v>
      </c>
      <c r="M37" s="858">
        <f t="shared" ca="1" si="24"/>
        <v>2597980</v>
      </c>
      <c r="N37" s="858">
        <f t="shared" ca="1" si="24"/>
        <v>1981284.6800000002</v>
      </c>
      <c r="O37" s="858">
        <f t="shared" ca="1" si="17"/>
        <v>81.68925600480253</v>
      </c>
      <c r="P37" s="858">
        <f t="shared" ca="1" si="18"/>
        <v>76.262507024688418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376442</v>
      </c>
      <c r="M41" s="85">
        <f t="shared" ca="1" si="25"/>
        <v>465290</v>
      </c>
      <c r="N41" s="85">
        <f t="shared" ca="1" si="25"/>
        <v>373900</v>
      </c>
      <c r="O41" s="85">
        <f t="shared" ref="O41:O49" ca="1" si="26">IF(L41&gt;0,N41*100/L41,0)</f>
        <v>99.324729971682231</v>
      </c>
      <c r="P41" s="85">
        <f t="shared" ref="P41:P49" ca="1" si="27">IF(M41&gt;0,N41*100/M41,0)</f>
        <v>80.358486105439624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376442</v>
      </c>
      <c r="M43" s="92">
        <f t="shared" ca="1" si="28"/>
        <v>465290</v>
      </c>
      <c r="N43" s="92">
        <f t="shared" ca="1" si="28"/>
        <v>373900</v>
      </c>
      <c r="O43" s="92">
        <f t="shared" ca="1" si="26"/>
        <v>99.324729971682231</v>
      </c>
      <c r="P43" s="92">
        <f t="shared" ca="1" si="27"/>
        <v>80.358486105439624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376442</v>
      </c>
      <c r="M44" s="498">
        <f t="shared" ca="1" si="29"/>
        <v>465290</v>
      </c>
      <c r="N44" s="498">
        <f t="shared" ca="1" si="29"/>
        <v>373900</v>
      </c>
      <c r="O44" s="498">
        <f t="shared" ca="1" si="26"/>
        <v>99.324729971682231</v>
      </c>
      <c r="P44" s="498">
        <f t="shared" ca="1" si="27"/>
        <v>80.358486105439624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IFERROR(__xludf.DUMMYFUNCTION("IMPORTRANGE(""https://docs.google.com/spreadsheets/d/1MeEWN-I1oV_STSDYn1IFDPWt_1FKiwhDph83XaGc0o0/edit?usp=sharing"",""งบพรบ!M80"")"),376442)</f>
        <v>376442</v>
      </c>
      <c r="M46" s="93">
        <f ca="1">IFERROR(__xludf.DUMMYFUNCTION("IMPORTRANGE(""https://docs.google.com/spreadsheets/d/1MeEWN-I1oV_STSDYn1IFDPWt_1FKiwhDph83XaGc0o0/edit?usp=sharing"",""งบพรบ!R80"")"),465290)</f>
        <v>465290</v>
      </c>
      <c r="N46" s="93">
        <f ca="1">IFERROR(__xludf.DUMMYFUNCTION("IMPORTRANGE(""https://docs.google.com/spreadsheets/d/1MeEWN-I1oV_STSDYn1IFDPWt_1FKiwhDph83XaGc0o0/edit?usp=sharing"",""งบพรบ!T80"")"),373900)</f>
        <v>373900</v>
      </c>
      <c r="O46" s="93">
        <f t="shared" ca="1" si="26"/>
        <v>99.324729971682231</v>
      </c>
      <c r="P46" s="93">
        <f t="shared" ca="1" si="27"/>
        <v>80.358486105439624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IFERROR(__xludf.DUMMYFUNCTION("IMPORTRANGE(""https://docs.google.com/spreadsheets/d/1MeEWN-I1oV_STSDYn1IFDPWt_1FKiwhDph83XaGc0o0/edit?usp=sharing"",""งบพรบ!P80"")"),0)</f>
        <v>0</v>
      </c>
      <c r="M49" s="52">
        <f ca="1">IFERROR(__xludf.DUMMYFUNCTION("IMPORTRANGE(""https://docs.google.com/spreadsheets/d/1MeEWN-I1oV_STSDYn1IFDPWt_1FKiwhDph83XaGc0o0/edit?usp=sharing"",""งบพรบ!S80"")"),0)</f>
        <v>0</v>
      </c>
      <c r="N49" s="52">
        <f ca="1">IFERROR(__xludf.DUMMYFUNCTION("IMPORTRANGE(""https://docs.google.com/spreadsheets/d/1MeEWN-I1oV_STSDYn1IFDPWt_1FKiwhDph83XaGc0o0/edit?usp=sharing"",""งบพรบ!U80"")"),0)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572600</v>
      </c>
      <c r="M53" s="116">
        <f t="shared" ca="1" si="31"/>
        <v>572600</v>
      </c>
      <c r="N53" s="116">
        <f t="shared" ca="1" si="31"/>
        <v>451866.18</v>
      </c>
      <c r="O53" s="116">
        <f t="shared" ref="O53:O61" ca="1" si="32">IF(L53&gt;0,N53*100/L53,0)</f>
        <v>78.91480614739784</v>
      </c>
      <c r="P53" s="116">
        <f t="shared" ref="P53:P61" ca="1" si="33">IF(M53&gt;0,N53*100/M53,0)</f>
        <v>78.91480614739784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572600</v>
      </c>
      <c r="M55" s="123">
        <f t="shared" ca="1" si="34"/>
        <v>572600</v>
      </c>
      <c r="N55" s="123">
        <f t="shared" ca="1" si="34"/>
        <v>451866.18</v>
      </c>
      <c r="O55" s="123">
        <f t="shared" ca="1" si="32"/>
        <v>78.91480614739784</v>
      </c>
      <c r="P55" s="123">
        <f t="shared" ca="1" si="33"/>
        <v>78.91480614739784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572600</v>
      </c>
      <c r="M56" s="498">
        <f t="shared" ca="1" si="35"/>
        <v>572600</v>
      </c>
      <c r="N56" s="498">
        <f t="shared" ca="1" si="35"/>
        <v>451866.18</v>
      </c>
      <c r="O56" s="498">
        <f t="shared" ca="1" si="32"/>
        <v>78.91480614739784</v>
      </c>
      <c r="P56" s="498">
        <f t="shared" ca="1" si="33"/>
        <v>78.91480614739784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IFERROR(__xludf.DUMMYFUNCTION("IMPORTRANGE(""https://docs.google.com/spreadsheets/d/1MeEWN-I1oV_STSDYn1IFDPWt_1FKiwhDph83XaGc0o0/edit?usp=sharing"",""งบพรบ!W80"")"),572600)</f>
        <v>572600</v>
      </c>
      <c r="M58" s="93">
        <f ca="1">IFERROR(__xludf.DUMMYFUNCTION("IMPORTRANGE(""https://docs.google.com/spreadsheets/d/1MeEWN-I1oV_STSDYn1IFDPWt_1FKiwhDph83XaGc0o0/edit?usp=sharing"",""งบพรบ!AB80"")"),572600)</f>
        <v>572600</v>
      </c>
      <c r="N58" s="93">
        <f ca="1">IFERROR(__xludf.DUMMYFUNCTION("IMPORTRANGE(""https://docs.google.com/spreadsheets/d/1MeEWN-I1oV_STSDYn1IFDPWt_1FKiwhDph83XaGc0o0/edit?usp=sharing"",""งบพรบ!AD80"")"),451866.18)</f>
        <v>451866.18</v>
      </c>
      <c r="O58" s="93">
        <f t="shared" ca="1" si="32"/>
        <v>78.91480614739784</v>
      </c>
      <c r="P58" s="93">
        <f t="shared" ca="1" si="33"/>
        <v>78.91480614739784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IFERROR(__xludf.DUMMYFUNCTION("IMPORTRANGE(""https://docs.google.com/spreadsheets/d/1MeEWN-I1oV_STSDYn1IFDPWt_1FKiwhDph83XaGc0o0/edit?usp=sharing"",""งบพรบ!Z80"")"),0)</f>
        <v>0</v>
      </c>
      <c r="M61" s="52">
        <f ca="1">IFERROR(__xludf.DUMMYFUNCTION("IMPORTRANGE(""https://docs.google.com/spreadsheets/d/1MeEWN-I1oV_STSDYn1IFDPWt_1FKiwhDph83XaGc0o0/edit?usp=sharing"",""งบพรบ!AC80"")"),0)</f>
        <v>0</v>
      </c>
      <c r="N61" s="52">
        <f ca="1">IFERROR(__xludf.DUMMYFUNCTION("IMPORTRANGE(""https://docs.google.com/spreadsheets/d/1MeEWN-I1oV_STSDYn1IFDPWt_1FKiwhDph83XaGc0o0/edit?usp=sharing"",""งบพรบ!AE80"")"),0)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IFERROR(__xludf.DUMMYFUNCTION("IMPORTRANGE(""https://docs.google.com/spreadsheets/d/1MeEWN-I1oV_STSDYn1IFDPWt_1FKiwhDph83XaGc0o0/edit?usp=sharing"",""งบพรบ!AG80"")"),0)</f>
        <v>0</v>
      </c>
      <c r="M71" s="93">
        <f ca="1">IFERROR(__xludf.DUMMYFUNCTION("IMPORTRANGE(""https://docs.google.com/spreadsheets/d/1MeEWN-I1oV_STSDYn1IFDPWt_1FKiwhDph83XaGc0o0/edit?usp=sharing"",""งบพรบ!AL80"")"),0)</f>
        <v>0</v>
      </c>
      <c r="N71" s="93">
        <f ca="1">IFERROR(__xludf.DUMMYFUNCTION("IMPORTRANGE(""https://docs.google.com/spreadsheets/d/1MeEWN-I1oV_STSDYn1IFDPWt_1FKiwhDph83XaGc0o0/edit?usp=sharing"",""งบพรบ!AN80"")"),0)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IFERROR(__xludf.DUMMYFUNCTION("IMPORTRANGE(""https://docs.google.com/spreadsheets/d/1MeEWN-I1oV_STSDYn1IFDPWt_1FKiwhDph83XaGc0o0/edit?usp=sharing"",""งบพรบ!AJ80"")"),0)</f>
        <v>0</v>
      </c>
      <c r="M74" s="93">
        <f ca="1">IFERROR(__xludf.DUMMYFUNCTION("IMPORTRANGE(""https://docs.google.com/spreadsheets/d/1MeEWN-I1oV_STSDYn1IFDPWt_1FKiwhDph83XaGc0o0/edit?usp=sharing"",""งบพรบ!AM80"")"),0)</f>
        <v>0</v>
      </c>
      <c r="N74" s="93">
        <f ca="1">IFERROR(__xludf.DUMMYFUNCTION("IMPORTRANGE(""https://docs.google.com/spreadsheets/d/1MeEWN-I1oV_STSDYn1IFDPWt_1FKiwhDph83XaGc0o0/edit?usp=sharing"",""งบพรบ!AO80"")"),0)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228840</v>
      </c>
      <c r="M88" s="155">
        <f t="shared" ca="1" si="49"/>
        <v>228840</v>
      </c>
      <c r="N88" s="155">
        <f t="shared" ca="1" si="49"/>
        <v>172521.28</v>
      </c>
      <c r="O88" s="155">
        <f t="shared" ref="O88:O96" ca="1" si="50">IF(L88&gt;0,N88*100/L88,0)</f>
        <v>75.389477364097189</v>
      </c>
      <c r="P88" s="155">
        <f t="shared" ref="P88:P96" ca="1" si="51">IF(M88&gt;0,N88*100/M88,0)</f>
        <v>75.389477364097189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228840</v>
      </c>
      <c r="M90" s="93">
        <f t="shared" ca="1" si="52"/>
        <v>228840</v>
      </c>
      <c r="N90" s="93">
        <f t="shared" ca="1" si="52"/>
        <v>172521.28</v>
      </c>
      <c r="O90" s="93">
        <f t="shared" ca="1" si="50"/>
        <v>75.389477364097189</v>
      </c>
      <c r="P90" s="93">
        <f t="shared" ca="1" si="51"/>
        <v>75.389477364097189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228840</v>
      </c>
      <c r="M91" s="498">
        <f t="shared" ca="1" si="53"/>
        <v>228840</v>
      </c>
      <c r="N91" s="498">
        <f t="shared" ca="1" si="53"/>
        <v>172521.28</v>
      </c>
      <c r="O91" s="498">
        <f t="shared" ca="1" si="50"/>
        <v>75.389477364097189</v>
      </c>
      <c r="P91" s="498">
        <f t="shared" ca="1" si="51"/>
        <v>75.389477364097189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IFERROR(__xludf.DUMMYFUNCTION("IMPORTRANGE(""https://docs.google.com/spreadsheets/d/1MeEWN-I1oV_STSDYn1IFDPWt_1FKiwhDph83XaGc0o0/edit?usp=sharing"",""งบพรบ!AQ80"")"),228840)</f>
        <v>228840</v>
      </c>
      <c r="M93" s="93">
        <f ca="1">IFERROR(__xludf.DUMMYFUNCTION("IMPORTRANGE(""https://docs.google.com/spreadsheets/d/1MeEWN-I1oV_STSDYn1IFDPWt_1FKiwhDph83XaGc0o0/edit?usp=sharing"",""งบพรบ!AV80"")"),228840)</f>
        <v>228840</v>
      </c>
      <c r="N93" s="93">
        <f ca="1">IFERROR(__xludf.DUMMYFUNCTION("IMPORTRANGE(""https://docs.google.com/spreadsheets/d/1MeEWN-I1oV_STSDYn1IFDPWt_1FKiwhDph83XaGc0o0/edit?usp=sharing"",""งบพรบ!AX80"")"),172521.28)</f>
        <v>172521.28</v>
      </c>
      <c r="O93" s="93">
        <f t="shared" ca="1" si="50"/>
        <v>75.389477364097189</v>
      </c>
      <c r="P93" s="93">
        <f t="shared" ca="1" si="51"/>
        <v>75.389477364097189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IFERROR(__xludf.DUMMYFUNCTION("IMPORTRANGE(""https://docs.google.com/spreadsheets/d/1MeEWN-I1oV_STSDYn1IFDPWt_1FKiwhDph83XaGc0o0/edit?usp=sharing"",""งบพรบ!AT80"")"),0)</f>
        <v>0</v>
      </c>
      <c r="M96" s="93">
        <f ca="1">IFERROR(__xludf.DUMMYFUNCTION("IMPORTRANGE(""https://docs.google.com/spreadsheets/d/1MeEWN-I1oV_STSDYn1IFDPWt_1FKiwhDph83XaGc0o0/edit?usp=sharing"",""งบพรบ!AW80"")"),0)</f>
        <v>0</v>
      </c>
      <c r="N96" s="93">
        <f ca="1">IFERROR(__xludf.DUMMYFUNCTION("IMPORTRANGE(""https://docs.google.com/spreadsheets/d/1MeEWN-I1oV_STSDYn1IFDPWt_1FKiwhDph83XaGc0o0/edit?usp=sharing"",""งบพรบ!AY80"")"),0)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IFERROR(__xludf.DUMMYFUNCTION("IMPORTRANGE(""https://docs.google.com/spreadsheets/d/1QqKyyYR6Q21VydFLVH3TRQUabQu_ym0Zz7PgGX0-kHA/edit?usp=sharing"",""แผน!K80"")"),30)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IFERROR(__xludf.DUMMYFUNCTION("IMPORTRANGE(""https://docs.google.com/spreadsheets/d/1QqKyyYR6Q21VydFLVH3TRQUabQu_ym0Zz7PgGX0-kHA/edit?usp=sharing"",""แผน!L80"")"),10)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IFERROR(__xludf.DUMMYFUNCTION("IMPORTRANGE(""https://docs.google.com/spreadsheets/d/1QqKyyYR6Q21VydFLVH3TRQUabQu_ym0Zz7PgGX0-kHA/edit?usp=sharing"",""แผน!M80"")"),2)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IFERROR(__xludf.DUMMYFUNCTION("IMPORTRANGE(""https://docs.google.com/spreadsheets/d/1QqKyyYR6Q21VydFLVH3TRQUabQu_ym0Zz7PgGX0-kHA/edit?usp=sharing"",""แผน!N80"")"),30)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IFERROR(__xludf.DUMMYFUNCTION("IMPORTRANGE(""https://docs.google.com/spreadsheets/d/1QqKyyYR6Q21VydFLVH3TRQUabQu_ym0Zz7PgGX0-kHA/edit?usp=sharing"",""แผน!O80"")"),10)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IFERROR(__xludf.DUMMYFUNCTION("IMPORTRANGE(""https://docs.google.com/spreadsheets/d/1QqKyyYR6Q21VydFLVH3TRQUabQu_ym0Zz7PgGX0-kHA/edit?usp=sharing"",""แผน!O80"")"),10)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IFERROR(__xludf.DUMMYFUNCTION("IMPORTRANGE(""https://docs.google.com/spreadsheets/d/1QqKyyYR6Q21VydFLVH3TRQUabQu_ym0Zz7PgGX0-kHA/edit?usp=sharing"",""แผน!P80"")"),1)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IFERROR(__xludf.DUMMYFUNCTION("IMPORTRANGE(""https://docs.google.com/spreadsheets/d/1QqKyyYR6Q21VydFLVH3TRQUabQu_ym0Zz7PgGX0-kHA/edit?usp=sharing"",""แผน!P80"")"),1)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IFERROR(__xludf.DUMMYFUNCTION("IMPORTRANGE(""https://docs.google.com/spreadsheets/d/1QqKyyYR6Q21VydFLVH3TRQUabQu_ym0Zz7PgGX0-kHA/edit?usp=sharing"",""แผน!Q80"")"),1)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IFERROR(__xludf.DUMMYFUNCTION("IMPORTRANGE(""https://docs.google.com/spreadsheets/d/1QqKyyYR6Q21VydFLVH3TRQUabQu_ym0Zz7PgGX0-kHA/edit?usp=sharing"",""แผน!Q80"")"),1)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IFERROR(__xludf.DUMMYFUNCTION("IMPORTRANGE(""https://docs.google.com/spreadsheets/d/1QqKyyYR6Q21VydFLVH3TRQUabQu_ym0Zz7PgGX0-kHA/edit?usp=sharing"",""แผน!R80"")"),10)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IFERROR(__xludf.DUMMYFUNCTION("IMPORTRANGE(""https://docs.google.com/spreadsheets/d/1QqKyyYR6Q21VydFLVH3TRQUabQu_ym0Zz7PgGX0-kHA/edit?usp=sharing"",""แผน!R80"")"),10)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IFERROR(__xludf.DUMMYFUNCTION("IMPORTRANGE(""https://docs.google.com/spreadsheets/d/1QqKyyYR6Q21VydFLVH3TRQUabQu_ym0Zz7PgGX0-kHA/edit?usp=sharing"",""แผน!R80"")"),10)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IFERROR(__xludf.DUMMYFUNCTION("IMPORTRANGE(""https://docs.google.com/spreadsheets/d/1QqKyyYR6Q21VydFLVH3TRQUabQu_ym0Zz7PgGX0-kHA/edit?usp=sharing"",""แผน!S80"")"),1)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IFERROR(__xludf.DUMMYFUNCTION("IMPORTRANGE(""https://docs.google.com/spreadsheets/d/1QqKyyYR6Q21VydFLVH3TRQUabQu_ym0Zz7PgGX0-kHA/edit?usp=sharing"",""แผน!T80"")"),1)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IFERROR(__xludf.DUMMYFUNCTION("IMPORTRANGE(""https://docs.google.com/spreadsheets/d/1MeEWN-I1oV_STSDYn1IFDPWt_1FKiwhDph83XaGc0o0/edit?usp=sharing"",""งบพรบ!BA80"")"),0)</f>
        <v>0</v>
      </c>
      <c r="M124" s="93">
        <f ca="1">IFERROR(__xludf.DUMMYFUNCTION("IMPORTRANGE(""https://docs.google.com/spreadsheets/d/1MeEWN-I1oV_STSDYn1IFDPWt_1FKiwhDph83XaGc0o0/edit?usp=sharing"",""งบพรบ!BF80"")"),0)</f>
        <v>0</v>
      </c>
      <c r="N124" s="93">
        <f ca="1">IFERROR(__xludf.DUMMYFUNCTION("IMPORTRANGE(""https://docs.google.com/spreadsheets/d/1MeEWN-I1oV_STSDYn1IFDPWt_1FKiwhDph83XaGc0o0/edit?usp=sharing"",""งบพรบ!BH80"")"),0)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IFERROR(__xludf.DUMMYFUNCTION("IMPORTRANGE(""https://docs.google.com/spreadsheets/d/1MeEWN-I1oV_STSDYn1IFDPWt_1FKiwhDph83XaGc0o0/edit?usp=sharing"",""งบพรบ!BD80"")"),0)</f>
        <v>0</v>
      </c>
      <c r="M127" s="93">
        <f ca="1">IFERROR(__xludf.DUMMYFUNCTION("IMPORTRANGE(""https://docs.google.com/spreadsheets/d/1MeEWN-I1oV_STSDYn1IFDPWt_1FKiwhDph83XaGc0o0/edit?usp=sharing"",""งบพรบ!BG80"")"),0)</f>
        <v>0</v>
      </c>
      <c r="N127" s="93">
        <f ca="1">IFERROR(__xludf.DUMMYFUNCTION("IMPORTRANGE(""https://docs.google.com/spreadsheets/d/1MeEWN-I1oV_STSDYn1IFDPWt_1FKiwhDph83XaGc0o0/edit?usp=sharing"",""งบพรบ!BI80"")"),0)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IFERROR(__xludf.DUMMYFUNCTION("IMPORTRANGE(""https://docs.google.com/spreadsheets/d/1MeEWN-I1oV_STSDYn1IFDPWt_1FKiwhDph83XaGc0o0/edit?usp=sharing"",""งบพรบ!BK80"")"),0)</f>
        <v>0</v>
      </c>
      <c r="M137" s="93">
        <f ca="1">IFERROR(__xludf.DUMMYFUNCTION("IMPORTRANGE(""https://docs.google.com/spreadsheets/d/1MeEWN-I1oV_STSDYn1IFDPWt_1FKiwhDph83XaGc0o0/edit?usp=sharing"",""งบพรบ!BP80"")"),0)</f>
        <v>0</v>
      </c>
      <c r="N137" s="93">
        <f ca="1">IFERROR(__xludf.DUMMYFUNCTION("IMPORTRANGE(""https://docs.google.com/spreadsheets/d/1MeEWN-I1oV_STSDYn1IFDPWt_1FKiwhDph83XaGc0o0/edit?usp=sharing"",""งบพรบ!BR80"")"),0)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IFERROR(__xludf.DUMMYFUNCTION("IMPORTRANGE(""https://docs.google.com/spreadsheets/d/1MeEWN-I1oV_STSDYn1IFDPWt_1FKiwhDph83XaGc0o0/edit?usp=sharing"",""งบพรบ!BN80"")"),0)</f>
        <v>0</v>
      </c>
      <c r="M140" s="93">
        <f ca="1">IFERROR(__xludf.DUMMYFUNCTION("IMPORTRANGE(""https://docs.google.com/spreadsheets/d/1MeEWN-I1oV_STSDYn1IFDPWt_1FKiwhDph83XaGc0o0/edit?usp=sharing"",""งบพรบ!BQ80"")"),0)</f>
        <v>0</v>
      </c>
      <c r="N140" s="93">
        <f ca="1">IFERROR(__xludf.DUMMYFUNCTION("IMPORTRANGE(""https://docs.google.com/spreadsheets/d/1MeEWN-I1oV_STSDYn1IFDPWt_1FKiwhDph83XaGc0o0/edit?usp=sharing"",""งบพรบ!BS80"")"),0)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IFERROR(__xludf.DUMMYFUNCTION("IMPORTRANGE(""https://docs.google.com/spreadsheets/d/1QqKyyYR6Q21VydFLVH3TRQUabQu_ym0Zz7PgGX0-kHA/edit?usp=sharing"",""แผน!U80"")"),0)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IFERROR(__xludf.DUMMYFUNCTION("IMPORTRANGE(""https://docs.google.com/spreadsheets/d/1QqKyyYR6Q21VydFLVH3TRQUabQu_ym0Zz7PgGX0-kHA/edit?usp=sharing"",""แผน!V80"")"),0)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IFERROR(__xludf.DUMMYFUNCTION("IMPORTRANGE(""https://docs.google.com/spreadsheets/d/1QqKyyYR6Q21VydFLVH3TRQUabQu_ym0Zz7PgGX0-kHA/edit?usp=sharing"",""แผน!W80"")"),0)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IFERROR(__xludf.DUMMYFUNCTION("IMPORTRANGE(""https://docs.google.com/spreadsheets/d/1MeEWN-I1oV_STSDYn1IFDPWt_1FKiwhDph83XaGc0o0/edit?usp=sharing"",""งบพรบ!BU80"")"),0)</f>
        <v>0</v>
      </c>
      <c r="M154" s="93">
        <f ca="1">IFERROR(__xludf.DUMMYFUNCTION("IMPORTRANGE(""https://docs.google.com/spreadsheets/d/1MeEWN-I1oV_STSDYn1IFDPWt_1FKiwhDph83XaGc0o0/edit?usp=sharing"",""งบพรบ!BZ80"")"),0)</f>
        <v>0</v>
      </c>
      <c r="N154" s="93">
        <f ca="1">IFERROR(__xludf.DUMMYFUNCTION("IMPORTRANGE(""https://docs.google.com/spreadsheets/d/1MeEWN-I1oV_STSDYn1IFDPWt_1FKiwhDph83XaGc0o0/edit?usp=sharing"",""งบพรบ!CB80"")"),0)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IFERROR(__xludf.DUMMYFUNCTION("IMPORTRANGE(""https://docs.google.com/spreadsheets/d/1MeEWN-I1oV_STSDYn1IFDPWt_1FKiwhDph83XaGc0o0/edit?usp=sharing"",""งบพรบ!BX80"")"),0)</f>
        <v>0</v>
      </c>
      <c r="M157" s="93">
        <f ca="1">IFERROR(__xludf.DUMMYFUNCTION("IMPORTRANGE(""https://docs.google.com/spreadsheets/d/1MeEWN-I1oV_STSDYn1IFDPWt_1FKiwhDph83XaGc0o0/edit?usp=sharing"",""งบพรบ!CA80"")"),0)</f>
        <v>0</v>
      </c>
      <c r="N157" s="93">
        <f ca="1">IFERROR(__xludf.DUMMYFUNCTION("IMPORTRANGE(""https://docs.google.com/spreadsheets/d/1MeEWN-I1oV_STSDYn1IFDPWt_1FKiwhDph83XaGc0o0/edit?usp=sharing"",""งบพรบ!CC80"")"),0)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IFERROR(__xludf.DUMMYFUNCTION("IMPORTRANGE(""https://docs.google.com/spreadsheets/d/1QqKyyYR6Q21VydFLVH3TRQUabQu_ym0Zz7PgGX0-kHA/edit?usp=sharing"",""แผน!X80"")"),0)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42290</v>
      </c>
      <c r="N165" s="155">
        <f t="shared" ca="1" si="84"/>
        <v>42290</v>
      </c>
      <c r="O165" s="155">
        <f t="shared" ref="O165:O173" ca="1" si="85">IF(L165&gt;0,N165*100/L165,0)</f>
        <v>200.90261282660333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42290</v>
      </c>
      <c r="N167" s="93">
        <f t="shared" ca="1" si="87"/>
        <v>42290</v>
      </c>
      <c r="O167" s="93">
        <f t="shared" ca="1" si="85"/>
        <v>200.90261282660333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42290</v>
      </c>
      <c r="N168" s="498">
        <f t="shared" ca="1" si="88"/>
        <v>42290</v>
      </c>
      <c r="O168" s="498">
        <f t="shared" ca="1" si="85"/>
        <v>200.90261282660333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IFERROR(__xludf.DUMMYFUNCTION("IMPORTRANGE(""https://docs.google.com/spreadsheets/d/1MeEWN-I1oV_STSDYn1IFDPWt_1FKiwhDph83XaGc0o0/edit?usp=sharing"",""งบพรบ!CE80"")"),21050)</f>
        <v>21050</v>
      </c>
      <c r="M170" s="93">
        <f ca="1">IFERROR(__xludf.DUMMYFUNCTION("IMPORTRANGE(""https://docs.google.com/spreadsheets/d/1MeEWN-I1oV_STSDYn1IFDPWt_1FKiwhDph83XaGc0o0/edit?usp=sharing"",""งบพรบ!CJ80"")"),42290)</f>
        <v>42290</v>
      </c>
      <c r="N170" s="93">
        <f ca="1">IFERROR(__xludf.DUMMYFUNCTION("IMPORTRANGE(""https://docs.google.com/spreadsheets/d/1MeEWN-I1oV_STSDYn1IFDPWt_1FKiwhDph83XaGc0o0/edit?usp=sharing"",""งบพรบ!CL80"")"),42290)</f>
        <v>42290</v>
      </c>
      <c r="O170" s="93">
        <f t="shared" ca="1" si="85"/>
        <v>200.90261282660333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IFERROR(__xludf.DUMMYFUNCTION("IMPORTRANGE(""https://docs.google.com/spreadsheets/d/1MeEWN-I1oV_STSDYn1IFDPWt_1FKiwhDph83XaGc0o0/edit?usp=sharing"",""งบพรบ!CH80"")"),0)</f>
        <v>0</v>
      </c>
      <c r="M173" s="93">
        <f ca="1">IFERROR(__xludf.DUMMYFUNCTION("IMPORTRANGE(""https://docs.google.com/spreadsheets/d/1MeEWN-I1oV_STSDYn1IFDPWt_1FKiwhDph83XaGc0o0/edit?usp=sharing"",""งบพรบ!CK80"")"),0)</f>
        <v>0</v>
      </c>
      <c r="N173" s="93">
        <f ca="1">IFERROR(__xludf.DUMMYFUNCTION("IMPORTRANGE(""https://docs.google.com/spreadsheets/d/1MeEWN-I1oV_STSDYn1IFDPWt_1FKiwhDph83XaGc0o0/edit?usp=sharing"",""งบพรบ!CM80"")"),0)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IFERROR(__xludf.DUMMYFUNCTION("IMPORTRANGE(""https://docs.google.com/spreadsheets/d/1QqKyyYR6Q21VydFLVH3TRQUabQu_ym0Zz7PgGX0-kHA/edit?usp=sharing"",""แผน!Y80"")"),10)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208400</v>
      </c>
      <c r="M181" s="155">
        <f t="shared" ca="1" si="92"/>
        <v>208400</v>
      </c>
      <c r="N181" s="155">
        <f t="shared" ca="1" si="92"/>
        <v>184275.79</v>
      </c>
      <c r="O181" s="155">
        <f t="shared" ref="O181:O189" ca="1" si="93">IF(L181&gt;0,N181*100/L181,0)</f>
        <v>88.424083493282154</v>
      </c>
      <c r="P181" s="155">
        <f t="shared" ref="P181:P189" ca="1" si="94">IF(M181&gt;0,N181*100/M181,0)</f>
        <v>88.424083493282154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208400</v>
      </c>
      <c r="M183" s="93">
        <f t="shared" ca="1" si="95"/>
        <v>208400</v>
      </c>
      <c r="N183" s="93">
        <f t="shared" ca="1" si="95"/>
        <v>184275.79</v>
      </c>
      <c r="O183" s="93">
        <f t="shared" ca="1" si="93"/>
        <v>88.424083493282154</v>
      </c>
      <c r="P183" s="93">
        <f t="shared" ca="1" si="94"/>
        <v>88.424083493282154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208400</v>
      </c>
      <c r="M184" s="498">
        <f t="shared" ca="1" si="96"/>
        <v>208400</v>
      </c>
      <c r="N184" s="498">
        <f t="shared" ca="1" si="96"/>
        <v>184275.79</v>
      </c>
      <c r="O184" s="498">
        <f t="shared" ca="1" si="93"/>
        <v>88.424083493282154</v>
      </c>
      <c r="P184" s="498">
        <f t="shared" ca="1" si="94"/>
        <v>88.424083493282154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IFERROR(__xludf.DUMMYFUNCTION("IMPORTRANGE(""https://docs.google.com/spreadsheets/d/1MeEWN-I1oV_STSDYn1IFDPWt_1FKiwhDph83XaGc0o0/edit?usp=sharing"",""งบพรบ!CO80"")"),208400)</f>
        <v>208400</v>
      </c>
      <c r="M186" s="93">
        <f ca="1">IFERROR(__xludf.DUMMYFUNCTION("IMPORTRANGE(""https://docs.google.com/spreadsheets/d/1MeEWN-I1oV_STSDYn1IFDPWt_1FKiwhDph83XaGc0o0/edit?usp=sharing"",""งบพรบ!CT80"")"),208400)</f>
        <v>208400</v>
      </c>
      <c r="N186" s="93">
        <f ca="1">IFERROR(__xludf.DUMMYFUNCTION("IMPORTRANGE(""https://docs.google.com/spreadsheets/d/1MeEWN-I1oV_STSDYn1IFDPWt_1FKiwhDph83XaGc0o0/edit?usp=sharing"",""งบพรบ!CV80"")"),184275.79)</f>
        <v>184275.79</v>
      </c>
      <c r="O186" s="93">
        <f t="shared" ca="1" si="93"/>
        <v>88.424083493282154</v>
      </c>
      <c r="P186" s="93">
        <f t="shared" ca="1" si="94"/>
        <v>88.424083493282154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IFERROR(__xludf.DUMMYFUNCTION("IMPORTRANGE(""https://docs.google.com/spreadsheets/d/1MeEWN-I1oV_STSDYn1IFDPWt_1FKiwhDph83XaGc0o0/edit?usp=sharing"",""งบพรบ!CR80"")"),0)</f>
        <v>0</v>
      </c>
      <c r="M189" s="93">
        <f ca="1">IFERROR(__xludf.DUMMYFUNCTION("IMPORTRANGE(""https://docs.google.com/spreadsheets/d/1MeEWN-I1oV_STSDYn1IFDPWt_1FKiwhDph83XaGc0o0/edit?usp=sharing"",""งบพรบ!CU80"")"),0)</f>
        <v>0</v>
      </c>
      <c r="N189" s="93">
        <f ca="1">IFERROR(__xludf.DUMMYFUNCTION("IMPORTRANGE(""https://docs.google.com/spreadsheets/d/1MeEWN-I1oV_STSDYn1IFDPWt_1FKiwhDph83XaGc0o0/edit?usp=sharing"",""งบพรบ!CW80"")"),0)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IFERROR(__xludf.DUMMYFUNCTION("IMPORTRANGE(""https://docs.google.com/spreadsheets/d/1QqKyyYR6Q21VydFLVH3TRQUabQu_ym0Zz7PgGX0-kHA/edit?usp=sharing"",""แผน!Z80"")"),6000)</f>
        <v>6000</v>
      </c>
      <c r="M191" s="155"/>
      <c r="N191" s="276">
        <v>4240</v>
      </c>
      <c r="O191" s="155">
        <f ca="1">IF(L191&gt;0,N191*100/L191,0)</f>
        <v>70.666666666666671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IFERROR(__xludf.DUMMYFUNCTION("IMPORTRANGE(""https://docs.google.com/spreadsheets/d/1QqKyyYR6Q21VydFLVH3TRQUabQu_ym0Zz7PgGX0-kHA/edit?usp=sharing"",""แผน!AC80"")"),4)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162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162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16240</v>
      </c>
      <c r="O198" s="155">
        <f ca="1">IF(L198&gt;0,N198*100/L198,0)</f>
        <v>62.46153846153846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IFERROR(__xludf.DUMMYFUNCTION("IMPORTRANGE(""https://docs.google.com/spreadsheets/d/1QqKyyYR6Q21VydFLVH3TRQUabQu_ym0Zz7PgGX0-kHA/edit?usp=sharing"",""แผน!AE80"")"),2000)</f>
        <v>2000</v>
      </c>
      <c r="M199" s="498"/>
      <c r="N199" s="826">
        <v>240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IFERROR(__xludf.DUMMYFUNCTION("IMPORTRANGE(""https://docs.google.com/spreadsheets/d/1QqKyyYR6Q21VydFLVH3TRQUabQu_ym0Zz7PgGX0-kHA/edit?usp=sharing"",""แผน!AF80"")"),16000)</f>
        <v>16000</v>
      </c>
      <c r="M200" s="498"/>
      <c r="N200" s="826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IFERROR(__xludf.DUMMYFUNCTION("IMPORTRANGE(""https://docs.google.com/spreadsheets/d/1QqKyyYR6Q21VydFLVH3TRQUabQu_ym0Zz7PgGX0-kHA/edit?usp=sharing"",""แผน!AG80"")"),8000)</f>
        <v>8000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IFERROR(__xludf.DUMMYFUNCTION("IMPORTRANGE(""https://docs.google.com/spreadsheets/d/1QqKyyYR6Q21VydFLVH3TRQUabQu_ym0Zz7PgGX0-kHA/edit?usp=sharing"",""แผน!AH80"")"),0)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IFERROR(__xludf.DUMMYFUNCTION("IMPORTRANGE(""https://docs.google.com/spreadsheets/d/1QqKyyYR6Q21VydFLVH3TRQUabQu_ym0Zz7PgGX0-kHA/edit?usp=sharing"",""แผน!AI80"")"),2)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IFERROR(__xludf.DUMMYFUNCTION("IMPORTRANGE(""https://docs.google.com/spreadsheets/d/1QqKyyYR6Q21VydFLVH3TRQUabQu_ym0Zz7PgGX0-kHA/edit?usp=sharing"",""แผน!AK80"")"),0)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IFERROR(__xludf.DUMMYFUNCTION("IMPORTRANGE(""https://docs.google.com/spreadsheets/d/1QqKyyYR6Q21VydFLVH3TRQUabQu_ym0Zz7PgGX0-kHA/edit?usp=sharing"",""แผน!AL80"")"),0)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IFERROR(__xludf.DUMMYFUNCTION("IMPORTRANGE(""https://docs.google.com/spreadsheets/d/1QqKyyYR6Q21VydFLVH3TRQUabQu_ym0Zz7PgGX0-kHA/edit?usp=sharing"",""แผน!AM80"")"),0)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IFERROR(__xludf.DUMMYFUNCTION("IMPORTRANGE(""https://docs.google.com/spreadsheets/d/1QqKyyYR6Q21VydFLVH3TRQUabQu_ym0Zz7PgGX0-kHA/edit?usp=sharing"",""แผน!AN80"")"),0)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IFERROR(__xludf.DUMMYFUNCTION("IMPORTRANGE(""https://docs.google.com/spreadsheets/d/1QqKyyYR6Q21VydFLVH3TRQUabQu_ym0Zz7PgGX0-kHA/edit?usp=sharing"",""แผน!AN80"")"),0)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17100</v>
      </c>
      <c r="M217" s="155"/>
      <c r="N217" s="155">
        <f>N218+N219+N220</f>
        <v>10240</v>
      </c>
      <c r="O217" s="155">
        <f ca="1">IF(L217&gt;0,N217*100/L217,0)</f>
        <v>59.883040935672511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IFERROR(__xludf.DUMMYFUNCTION("IMPORTRANGE(""https://docs.google.com/spreadsheets/d/1QqKyyYR6Q21VydFLVH3TRQUabQu_ym0Zz7PgGX0-kHA/edit?usp=sharing"",""แผน!AP80"")"),3000)</f>
        <v>3000</v>
      </c>
      <c r="M218" s="498"/>
      <c r="N218" s="826">
        <v>240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IFERROR(__xludf.DUMMYFUNCTION("IMPORTRANGE(""https://docs.google.com/spreadsheets/d/1QqKyyYR6Q21VydFLVH3TRQUabQu_ym0Zz7PgGX0-kHA/edit?usp=sharing"",""แผน!AQ80"")"),4100)</f>
        <v>4100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IFERROR(__xludf.DUMMYFUNCTION("IMPORTRANGE(""https://docs.google.com/spreadsheets/d/1QqKyyYR6Q21VydFLVH3TRQUabQu_ym0Zz7PgGX0-kHA/edit?usp=sharing"",""แผน!AR80"")"),10000)</f>
        <v>10000</v>
      </c>
      <c r="M220" s="498"/>
      <c r="N220" s="826">
        <v>10000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IFERROR(__xludf.DUMMYFUNCTION("IMPORTRANGE(""https://docs.google.com/spreadsheets/d/1QqKyyYR6Q21VydFLVH3TRQUabQu_ym0Zz7PgGX0-kHA/edit?usp=sharing"",""แผน!AT80"")"),12800)</f>
        <v>12800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IFERROR(__xludf.DUMMYFUNCTION("IMPORTRANGE(""https://docs.google.com/spreadsheets/d/1QqKyyYR6Q21VydFLVH3TRQUabQu_ym0Zz7PgGX0-kHA/edit?usp=sharing"",""แผน!AT80"")"),12800)</f>
        <v>12800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IFERROR(__xludf.DUMMYFUNCTION("IMPORTRANGE(""https://docs.google.com/spreadsheets/d/1QqKyyYR6Q21VydFLVH3TRQUabQu_ym0Zz7PgGX0-kHA/edit?usp=sharing"",""แผน!AS80"")"),10)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IFERROR(__xludf.DUMMYFUNCTION("IMPORTRANGE(""https://docs.google.com/spreadsheets/d/1QqKyyYR6Q21VydFLVH3TRQUabQu_ym0Zz7PgGX0-kHA/edit?usp=sharing"",""แผน!AV80"")"),0)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IFERROR(__xludf.DUMMYFUNCTION("IMPORTRANGE(""https://docs.google.com/spreadsheets/d/1QqKyyYR6Q21VydFLVH3TRQUabQu_ym0Zz7PgGX0-kHA/edit?usp=sharing"",""แผน!AW80"")"),0)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IFERROR(__xludf.DUMMYFUNCTION("IMPORTRANGE(""https://docs.google.com/spreadsheets/d/1QqKyyYR6Q21VydFLVH3TRQUabQu_ym0Zz7PgGX0-kHA/edit?usp=sharing"",""แผน!AX80"")"),0)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IFERROR(__xludf.DUMMYFUNCTION("IMPORTRANGE(""https://docs.google.com/spreadsheets/d/1QqKyyYR6Q21VydFLVH3TRQUabQu_ym0Zz7PgGX0-kHA/edit?usp=sharing"",""แผน!AY80"")"),0)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IFERROR(__xludf.DUMMYFUNCTION("IMPORTRANGE(""https://docs.google.com/spreadsheets/d/1QqKyyYR6Q21VydFLVH3TRQUabQu_ym0Zz7PgGX0-kHA/edit?usp=sharing"",""แผน!BE80"")"),0)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IFERROR(__xludf.DUMMYFUNCTION("IMPORTRANGE(""https://docs.google.com/spreadsheets/d/1QqKyyYR6Q21VydFLVH3TRQUabQu_ym0Zz7PgGX0-kHA/edit?usp=sharing"",""แผน!AZ80"")"),0)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IFERROR(__xludf.DUMMYFUNCTION("IMPORTRANGE(""https://docs.google.com/spreadsheets/d/1QqKyyYR6Q21VydFLVH3TRQUabQu_ym0Zz7PgGX0-kHA/edit?usp=sharing"",""แผน!BA80"")"),0)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IFERROR(__xludf.DUMMYFUNCTION("IMPORTRANGE(""https://docs.google.com/spreadsheets/d/1QqKyyYR6Q21VydFLVH3TRQUabQu_ym0Zz7PgGX0-kHA/edit?usp=sharing"",""แผน!BB80"")"),0)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IFERROR(__xludf.DUMMYFUNCTION("IMPORTRANGE(""https://docs.google.com/spreadsheets/d/1QqKyyYR6Q21VydFLVH3TRQUabQu_ym0Zz7PgGX0-kHA/edit?usp=sharing"",""แผน!BC80"")"),0)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IFERROR(__xludf.DUMMYFUNCTION("IMPORTRANGE(""https://docs.google.com/spreadsheets/d/1QqKyyYR6Q21VydFLVH3TRQUabQu_ym0Zz7PgGX0-kHA/edit?usp=sharing"",""แผน!BF80"")"),0)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25000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IFERROR(__xludf.DUMMYFUNCTION("IMPORTRANGE(""https://docs.google.com/spreadsheets/d/1MeEWN-I1oV_STSDYn1IFDPWt_1FKiwhDph83XaGc0o0/edit?usp=sharing"",""งบพรบ!CY80"")"),25000)</f>
        <v>25000</v>
      </c>
      <c r="M266" s="93">
        <f ca="1">IFERROR(__xludf.DUMMYFUNCTION("IMPORTRANGE(""https://docs.google.com/spreadsheets/d/1MeEWN-I1oV_STSDYn1IFDPWt_1FKiwhDph83XaGc0o0/edit?usp=sharing"",""งบพรบ!DD80"")"),25000)</f>
        <v>25000</v>
      </c>
      <c r="N266" s="93">
        <f ca="1">IFERROR(__xludf.DUMMYFUNCTION("IMPORTRANGE(""https://docs.google.com/spreadsheets/d/1MeEWN-I1oV_STSDYn1IFDPWt_1FKiwhDph83XaGc0o0/edit?usp=sharing"",""งบพรบ!DF80"")"),0)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IFERROR(__xludf.DUMMYFUNCTION("IMPORTRANGE(""https://docs.google.com/spreadsheets/d/1MeEWN-I1oV_STSDYn1IFDPWt_1FKiwhDph83XaGc0o0/edit?usp=sharing"",""งบพรบ!DB80"")"),0)</f>
        <v>0</v>
      </c>
      <c r="M269" s="93">
        <f ca="1">IFERROR(__xludf.DUMMYFUNCTION("IMPORTRANGE(""https://docs.google.com/spreadsheets/d/1MeEWN-I1oV_STSDYn1IFDPWt_1FKiwhDph83XaGc0o0/edit?usp=sharing"",""งบพรบ!DE80"")"),0)</f>
        <v>0</v>
      </c>
      <c r="N269" s="93">
        <f ca="1">IFERROR(__xludf.DUMMYFUNCTION("IMPORTRANGE(""https://docs.google.com/spreadsheets/d/1MeEWN-I1oV_STSDYn1IFDPWt_1FKiwhDph83XaGc0o0/edit?usp=sharing"",""งบพรบ!DG80"")"),0)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IFERROR(__xludf.DUMMYFUNCTION("IMPORTRANGE(""https://docs.google.com/spreadsheets/d/1QqKyyYR6Q21VydFLVH3TRQUabQu_ym0Zz7PgGX0-kHA/edit?usp=sharing"",""แผน!EA80"")"),20)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IFERROR(__xludf.DUMMYFUNCTION("IMPORTRANGE(""https://docs.google.com/spreadsheets/d/1MeEWN-I1oV_STSDYn1IFDPWt_1FKiwhDph83XaGc0o0/edit?usp=sharing"",""งบพรบ!DI80"")"),0)</f>
        <v>0</v>
      </c>
      <c r="M282" s="93">
        <f ca="1">IFERROR(__xludf.DUMMYFUNCTION("IMPORTRANGE(""https://docs.google.com/spreadsheets/d/1MeEWN-I1oV_STSDYn1IFDPWt_1FKiwhDph83XaGc0o0/edit?usp=sharing"",""งบพรบ!DN80"")"),0)</f>
        <v>0</v>
      </c>
      <c r="N282" s="93">
        <f ca="1">IFERROR(__xludf.DUMMYFUNCTION("IMPORTRANGE(""https://docs.google.com/spreadsheets/d/1MeEWN-I1oV_STSDYn1IFDPWt_1FKiwhDph83XaGc0o0/edit?usp=sharing"",""งบพรบ!DP80"")"),0)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IFERROR(__xludf.DUMMYFUNCTION("IMPORTRANGE(""https://docs.google.com/spreadsheets/d/1MeEWN-I1oV_STSDYn1IFDPWt_1FKiwhDph83XaGc0o0/edit?usp=sharing"",""งบพรบ!DL80"")"),0)</f>
        <v>0</v>
      </c>
      <c r="M285" s="93">
        <f ca="1">IFERROR(__xludf.DUMMYFUNCTION("IMPORTRANGE(""https://docs.google.com/spreadsheets/d/1MeEWN-I1oV_STSDYn1IFDPWt_1FKiwhDph83XaGc0o0/edit?usp=sharing"",""งบพรบ!DO80"")"),0)</f>
        <v>0</v>
      </c>
      <c r="N285" s="93">
        <f ca="1">IFERROR(__xludf.DUMMYFUNCTION("IMPORTRANGE(""https://docs.google.com/spreadsheets/d/1MeEWN-I1oV_STSDYn1IFDPWt_1FKiwhDph83XaGc0o0/edit?usp=sharing"",""งบพรบ!DQ80"")"),0)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IFERROR(__xludf.DUMMYFUNCTION("IMPORTRANGE(""https://docs.google.com/spreadsheets/d/1QqKyyYR6Q21VydFLVH3TRQUabQu_ym0Zz7PgGX0-kHA/edit?usp=sharing"",""แผน!EC80"")"),0)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IFERROR(__xludf.DUMMYFUNCTION("IMPORTRANGE(""https://docs.google.com/spreadsheets/d/1QqKyyYR6Q21VydFLVH3TRQUabQu_ym0Zz7PgGX0-kHA/edit?usp=sharing"",""แผน!EB80"")"),0)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IFERROR(__xludf.DUMMYFUNCTION("IMPORTRANGE(""https://docs.google.com/spreadsheets/d/1QqKyyYR6Q21VydFLVH3TRQUabQu_ym0Zz7PgGX0-kHA/edit?usp=sharing"",""แผน!EB80"")"),0)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IFERROR(__xludf.DUMMYFUNCTION("IMPORTRANGE(""https://docs.google.com/spreadsheets/d/1QqKyyYR6Q21VydFLVH3TRQUabQu_ym0Zz7PgGX0-kHA/edit?usp=sharing"",""แผน!EB80"")"),0)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IFERROR(__xludf.DUMMYFUNCTION("IMPORTRANGE(""https://docs.google.com/spreadsheets/d/1QqKyyYR6Q21VydFLVH3TRQUabQu_ym0Zz7PgGX0-kHA/edit?usp=sharing"",""แผน!EB80"")"),0)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IFERROR(__xludf.DUMMYFUNCTION("IMPORTRANGE(""https://docs.google.com/spreadsheets/d/1QqKyyYR6Q21VydFLVH3TRQUabQu_ym0Zz7PgGX0-kHA/edit?usp=sharing"",""แผน!EB80"")"),0)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IFERROR(__xludf.DUMMYFUNCTION("IMPORTRANGE(""https://docs.google.com/spreadsheets/d/1MeEWN-I1oV_STSDYn1IFDPWt_1FKiwhDph83XaGc0o0/edit?usp=sharing"",""งบพรบ!DS80"")"),0)</f>
        <v>0</v>
      </c>
      <c r="M303" s="93">
        <f ca="1">IFERROR(__xludf.DUMMYFUNCTION("IMPORTRANGE(""https://docs.google.com/spreadsheets/d/1MeEWN-I1oV_STSDYn1IFDPWt_1FKiwhDph83XaGc0o0/edit?usp=sharing"",""งบพรบ!DX80"")"),0)</f>
        <v>0</v>
      </c>
      <c r="N303" s="93">
        <f ca="1">IFERROR(__xludf.DUMMYFUNCTION("IMPORTRANGE(""https://docs.google.com/spreadsheets/d/1MeEWN-I1oV_STSDYn1IFDPWt_1FKiwhDph83XaGc0o0/edit?usp=sharing"",""งบพรบ!DZ80"")"),0)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IFERROR(__xludf.DUMMYFUNCTION("IMPORTRANGE(""https://docs.google.com/spreadsheets/d/1MeEWN-I1oV_STSDYn1IFDPWt_1FKiwhDph83XaGc0o0/edit?usp=sharing"",""งบพรบ!DV80"")"),0)</f>
        <v>0</v>
      </c>
      <c r="M306" s="93">
        <f ca="1">IFERROR(__xludf.DUMMYFUNCTION("IMPORTRANGE(""https://docs.google.com/spreadsheets/d/1MeEWN-I1oV_STSDYn1IFDPWt_1FKiwhDph83XaGc0o0/edit?usp=sharing"",""งบพรบ!DY80"")"),0)</f>
        <v>0</v>
      </c>
      <c r="N306" s="93">
        <f ca="1">IFERROR(__xludf.DUMMYFUNCTION("IMPORTRANGE(""https://docs.google.com/spreadsheets/d/1MeEWN-I1oV_STSDYn1IFDPWt_1FKiwhDph83XaGc0o0/edit?usp=sharing"",""งบพรบ!EA80"")"),0)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IFERROR(__xludf.DUMMYFUNCTION("IMPORTRANGE(""https://docs.google.com/spreadsheets/d/1QqKyyYR6Q21VydFLVH3TRQUabQu_ym0Zz7PgGX0-kHA/edit?usp=sharing"",""แผน!ED80"")"),0)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IFERROR(__xludf.DUMMYFUNCTION("IMPORTRANGE(""https://docs.google.com/spreadsheets/d/1QqKyyYR6Q21VydFLVH3TRQUabQu_ym0Zz7PgGX0-kHA/edit?usp=sharing"",""แผน!ED80"")"),0)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IFERROR(__xludf.DUMMYFUNCTION("IMPORTRANGE(""https://docs.google.com/spreadsheets/d/1QqKyyYR6Q21VydFLVH3TRQUabQu_ym0Zz7PgGX0-kHA/edit?usp=sharing"",""แผน!ED80"")"),0)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IFERROR(__xludf.DUMMYFUNCTION("IMPORTRANGE(""https://docs.google.com/spreadsheets/d/1QqKyyYR6Q21VydFLVH3TRQUabQu_ym0Zz7PgGX0-kHA/edit?usp=sharing"",""แผน!EE80"")"),0)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IFERROR(__xludf.DUMMYFUNCTION("IMPORTRANGE(""https://docs.google.com/spreadsheets/d/1MeEWN-I1oV_STSDYn1IFDPWt_1FKiwhDph83XaGc0o0/edit?usp=sharing"",""งบพรบ!EC80"")"),0)</f>
        <v>0</v>
      </c>
      <c r="M320" s="93">
        <f ca="1">IFERROR(__xludf.DUMMYFUNCTION("IMPORTRANGE(""https://docs.google.com/spreadsheets/d/1MeEWN-I1oV_STSDYn1IFDPWt_1FKiwhDph83XaGc0o0/edit?usp=sharing"",""งบพรบ!EH80"")"),0)</f>
        <v>0</v>
      </c>
      <c r="N320" s="93">
        <f ca="1">IFERROR(__xludf.DUMMYFUNCTION("IMPORTRANGE(""https://docs.google.com/spreadsheets/d/1MeEWN-I1oV_STSDYn1IFDPWt_1FKiwhDph83XaGc0o0/edit?usp=sharing"",""งบพรบ!EJ80"")"),0)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IFERROR(__xludf.DUMMYFUNCTION("IMPORTRANGE(""https://docs.google.com/spreadsheets/d/1MeEWN-I1oV_STSDYn1IFDPWt_1FKiwhDph83XaGc0o0/edit?usp=sharing"",""งบพรบ!EF80"")"),0)</f>
        <v>0</v>
      </c>
      <c r="M323" s="93">
        <f ca="1">IFERROR(__xludf.DUMMYFUNCTION("IMPORTRANGE(""https://docs.google.com/spreadsheets/d/1MeEWN-I1oV_STSDYn1IFDPWt_1FKiwhDph83XaGc0o0/edit?usp=sharing"",""งบพรบ!EI80"")"),0)</f>
        <v>0</v>
      </c>
      <c r="N323" s="93">
        <f ca="1">IFERROR(__xludf.DUMMYFUNCTION("IMPORTRANGE(""https://docs.google.com/spreadsheets/d/1MeEWN-I1oV_STSDYn1IFDPWt_1FKiwhDph83XaGc0o0/edit?usp=sharing"",""งบพรบ!EK80"")"),0)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IFERROR(__xludf.DUMMYFUNCTION("IMPORTRANGE(""https://docs.google.com/spreadsheets/d/1QqKyyYR6Q21VydFLVH3TRQUabQu_ym0Zz7PgGX0-kHA/edit?usp=sharing"",""แผน!EF80"")"),0)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IFERROR(__xludf.DUMMYFUNCTION("IMPORTRANGE(""https://docs.google.com/spreadsheets/d/1QqKyyYR6Q21VydFLVH3TRQUabQu_ym0Zz7PgGX0-kHA/edit?usp=sharing"",""แผน!EG80"")"),300)</f>
        <v>300</v>
      </c>
      <c r="J327" s="445">
        <f ca="1">J338+J341+J342+J343</f>
        <v>496</v>
      </c>
      <c r="K327" s="446">
        <f ca="1">IF(I327&gt;0,J327*100/I327,0)</f>
        <v>165.33333333333334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159500</v>
      </c>
      <c r="N328" s="155">
        <f t="shared" ca="1" si="149"/>
        <v>72689</v>
      </c>
      <c r="O328" s="155">
        <f t="shared" ref="O328:O336" ca="1" si="150">IF(L328&gt;0,N328*100/L328,0)</f>
        <v>46.298726114649682</v>
      </c>
      <c r="P328" s="155">
        <f t="shared" ref="P328:P336" ca="1" si="151">IF(M328&gt;0,N328*100/M328,0)</f>
        <v>45.573040752351098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157000</v>
      </c>
      <c r="M330" s="93">
        <f t="shared" ca="1" si="152"/>
        <v>159500</v>
      </c>
      <c r="N330" s="93">
        <f t="shared" ca="1" si="152"/>
        <v>72689</v>
      </c>
      <c r="O330" s="93">
        <f t="shared" ca="1" si="150"/>
        <v>46.298726114649682</v>
      </c>
      <c r="P330" s="93">
        <f t="shared" ca="1" si="151"/>
        <v>45.573040752351098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159500</v>
      </c>
      <c r="N331" s="498">
        <f t="shared" ca="1" si="153"/>
        <v>72689</v>
      </c>
      <c r="O331" s="498">
        <f t="shared" ca="1" si="150"/>
        <v>46.298726114649682</v>
      </c>
      <c r="P331" s="498">
        <f t="shared" ca="1" si="151"/>
        <v>45.573040752351098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IFERROR(__xludf.DUMMYFUNCTION("IMPORTRANGE(""https://docs.google.com/spreadsheets/d/1MeEWN-I1oV_STSDYn1IFDPWt_1FKiwhDph83XaGc0o0/edit?usp=sharing"",""งบพรบ!EM80"")"),157000)</f>
        <v>157000</v>
      </c>
      <c r="M333" s="93">
        <f ca="1">IFERROR(__xludf.DUMMYFUNCTION("IMPORTRANGE(""https://docs.google.com/spreadsheets/d/1MeEWN-I1oV_STSDYn1IFDPWt_1FKiwhDph83XaGc0o0/edit?usp=sharing"",""งบพรบ!ER80"")"),159500)</f>
        <v>159500</v>
      </c>
      <c r="N333" s="93">
        <f ca="1">IFERROR(__xludf.DUMMYFUNCTION("IMPORTRANGE(""https://docs.google.com/spreadsheets/d/1MeEWN-I1oV_STSDYn1IFDPWt_1FKiwhDph83XaGc0o0/edit?usp=sharing"",""งบพรบ!ET80"")"),72689)</f>
        <v>72689</v>
      </c>
      <c r="O333" s="93">
        <f t="shared" ca="1" si="150"/>
        <v>46.298726114649682</v>
      </c>
      <c r="P333" s="93">
        <f t="shared" ca="1" si="151"/>
        <v>45.573040752351098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IFERROR(__xludf.DUMMYFUNCTION("IMPORTRANGE(""https://docs.google.com/spreadsheets/d/1MeEWN-I1oV_STSDYn1IFDPWt_1FKiwhDph83XaGc0o0/edit?usp=sharing"",""งบพรบ!EP80"")"),0)</f>
        <v>0</v>
      </c>
      <c r="M336" s="93">
        <f ca="1">IFERROR(__xludf.DUMMYFUNCTION("IMPORTRANGE(""https://docs.google.com/spreadsheets/d/1MeEWN-I1oV_STSDYn1IFDPWt_1FKiwhDph83XaGc0o0/edit?usp=sharing"",""งบพรบ!ES80"")"),0)</f>
        <v>0</v>
      </c>
      <c r="N336" s="93">
        <f ca="1">IFERROR(__xludf.DUMMYFUNCTION("IMPORTRANGE(""https://docs.google.com/spreadsheets/d/1MeEWN-I1oV_STSDYn1IFDPWt_1FKiwhDph83XaGc0o0/edit?usp=sharing"",""งบพรบ!EU80"")"),0)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IFERROR(__xludf.DUMMYFUNCTION("IMPORTRANGE(""https://docs.google.com/spreadsheets/d/1QqKyyYR6Q21VydFLVH3TRQUabQu_ym0Zz7PgGX0-kHA/edit?usp=sharing"",""แผน!EG80"")"),300)</f>
        <v>300</v>
      </c>
      <c r="J338" s="270">
        <f ca="1">IFERROR(__xludf.DUMMYFUNCTION("IMPORTRANGE(""https://docs.google.com/spreadsheets/d/1kVcqe37tkHyjCSG3S0O1AXqVkqjo8mSIZil3BcpIysc/edit?usp=sharing"",""ศูนย์!D80"")"),417)</f>
        <v>417</v>
      </c>
      <c r="K338" s="498">
        <f ca="1">IF(I338&gt;0,J338*100/I338,0)</f>
        <v>139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IFERROR(__xludf.DUMMYFUNCTION("IMPORTRANGE(""https://docs.google.com/spreadsheets/d/1QqKyyYR6Q21VydFLVH3TRQUabQu_ym0Zz7PgGX0-kHA/edit?usp=sharing"",""แผน!EH80"")"),2)</f>
        <v>2</v>
      </c>
      <c r="J340" s="270">
        <f ca="1">IFERROR(__xludf.DUMMYFUNCTION("IMPORTRANGE(""https://docs.google.com/spreadsheets/d/1kVcqe37tkHyjCSG3S0O1AXqVkqjo8mSIZil3BcpIysc/edit?usp=sharing"",""ศูนย์!E80"")"),2)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IFERROR(__xludf.DUMMYFUNCTION("IMPORTRANGE(""https://docs.google.com/spreadsheets/d/1kVcqe37tkHyjCSG3S0O1AXqVkqjo8mSIZil3BcpIysc/edit?usp=sharing"",""ศูนย์!F80"")"),69)</f>
        <v>69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IFERROR(__xludf.DUMMYFUNCTION("IMPORTRANGE(""https://docs.google.com/spreadsheets/d/1kVcqe37tkHyjCSG3S0O1AXqVkqjo8mSIZil3BcpIysc/edit?usp=sharing"",""ศูนย์!G80"")"),0)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IFERROR(__xludf.DUMMYFUNCTION("IMPORTRANGE(""https://docs.google.com/spreadsheets/d/1kVcqe37tkHyjCSG3S0O1AXqVkqjo8mSIZil3BcpIysc/edit?usp=sharing"",""ศูนย์!H80"")"),10)</f>
        <v>10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836060</v>
      </c>
      <c r="M345" s="155">
        <f t="shared" ca="1" si="155"/>
        <v>896060</v>
      </c>
      <c r="N345" s="155">
        <f t="shared" ca="1" si="155"/>
        <v>683742.43</v>
      </c>
      <c r="O345" s="155">
        <f t="shared" ref="O345:O353" ca="1" si="156">IF(L345&gt;0,N345*100/L345,0)</f>
        <v>81.781502523742319</v>
      </c>
      <c r="P345" s="155">
        <f t="shared" ref="P345:P353" ca="1" si="157">IF(M345&gt;0,N345*100/M345,0)</f>
        <v>76.305429323929204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836060</v>
      </c>
      <c r="M347" s="93">
        <f t="shared" ca="1" si="158"/>
        <v>896060</v>
      </c>
      <c r="N347" s="93">
        <f t="shared" ca="1" si="158"/>
        <v>683742.43</v>
      </c>
      <c r="O347" s="93">
        <f t="shared" ca="1" si="156"/>
        <v>81.781502523742319</v>
      </c>
      <c r="P347" s="93">
        <f t="shared" ca="1" si="157"/>
        <v>76.305429323929204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760060</v>
      </c>
      <c r="M348" s="498">
        <f t="shared" ca="1" si="159"/>
        <v>820060</v>
      </c>
      <c r="N348" s="498">
        <f t="shared" ca="1" si="159"/>
        <v>607742.43000000005</v>
      </c>
      <c r="O348" s="498">
        <f t="shared" ca="1" si="156"/>
        <v>79.95979659500567</v>
      </c>
      <c r="P348" s="498">
        <f t="shared" ca="1" si="157"/>
        <v>74.109507840889705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IFERROR(__xludf.DUMMYFUNCTION("IMPORTRANGE(""https://docs.google.com/spreadsheets/d/1MeEWN-I1oV_STSDYn1IFDPWt_1FKiwhDph83XaGc0o0/edit?usp=sharing"",""งบพรบ!EW80"")"),760060)</f>
        <v>760060</v>
      </c>
      <c r="M350" s="93">
        <f ca="1">IFERROR(__xludf.DUMMYFUNCTION("IMPORTRANGE(""https://docs.google.com/spreadsheets/d/1MeEWN-I1oV_STSDYn1IFDPWt_1FKiwhDph83XaGc0o0/edit?usp=sharing"",""งบพรบ!FB80"")"),820060)</f>
        <v>820060</v>
      </c>
      <c r="N350" s="93">
        <f ca="1">IFERROR(__xludf.DUMMYFUNCTION("IMPORTRANGE(""https://docs.google.com/spreadsheets/d/1MeEWN-I1oV_STSDYn1IFDPWt_1FKiwhDph83XaGc0o0/edit?usp=sharing"",""งบพรบ!FD80"")"),607742.43)</f>
        <v>607742.43000000005</v>
      </c>
      <c r="O350" s="93">
        <f t="shared" ca="1" si="156"/>
        <v>79.95979659500567</v>
      </c>
      <c r="P350" s="93">
        <f t="shared" ca="1" si="157"/>
        <v>74.109507840889705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76000</v>
      </c>
      <c r="N351" s="498">
        <f t="shared" ca="1" si="160"/>
        <v>76000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IFERROR(__xludf.DUMMYFUNCTION("IMPORTRANGE(""https://docs.google.com/spreadsheets/d/1MeEWN-I1oV_STSDYn1IFDPWt_1FKiwhDph83XaGc0o0/edit?usp=sharing"",""งบพรบ!EZ80"")"),76000)</f>
        <v>76000</v>
      </c>
      <c r="M353" s="93">
        <f ca="1">IFERROR(__xludf.DUMMYFUNCTION("IMPORTRANGE(""https://docs.google.com/spreadsheets/d/1MeEWN-I1oV_STSDYn1IFDPWt_1FKiwhDph83XaGc0o0/edit?usp=sharing"",""งบพรบ!FC80"")"),76000)</f>
        <v>76000</v>
      </c>
      <c r="N353" s="93">
        <f ca="1">IFERROR(__xludf.DUMMYFUNCTION("IMPORTRANGE(""https://docs.google.com/spreadsheets/d/1MeEWN-I1oV_STSDYn1IFDPWt_1FKiwhDph83XaGc0o0/edit?usp=sharing"",""งบพรบ!FE80"")"),76000)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IFERROR(__xludf.DUMMYFUNCTION("IMPORTRANGE(""https://docs.google.com/spreadsheets/d/1QqKyyYR6Q21VydFLVH3TRQUabQu_ym0Zz7PgGX0-kHA/edit?usp=sharing"",""แผน!EP80"")"),84)</f>
        <v>84</v>
      </c>
      <c r="J355" s="465">
        <f ca="1">J362</f>
        <v>56</v>
      </c>
      <c r="K355" s="466">
        <f ca="1">IF(I355&gt;0,J355*100/I355,0)</f>
        <v>66.666666666666671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IFERROR(__xludf.DUMMYFUNCTION("IMPORTRANGE(""https://docs.google.com/spreadsheets/d/1XWAQStnk-4SwqDmLtmXYiTMKHgktTP8We1SCoS47DrQ/edit?usp=sharing"",""จัดที่ดิน!W80"")"),71)</f>
        <v>71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IFERROR(__xludf.DUMMYFUNCTION("IMPORTRANGE(""https://docs.google.com/spreadsheets/d/1QqKyyYR6Q21VydFLVH3TRQUabQu_ym0Zz7PgGX0-kHA/edit?usp=sharing"",""แผน!EO80"")"),400)</f>
        <v>400</v>
      </c>
      <c r="J359" s="270">
        <f ca="1">IFERROR(__xludf.DUMMYFUNCTION("IMPORTRANGE(""https://docs.google.com/spreadsheets/d/1XWAQStnk-4SwqDmLtmXYiTMKHgktTP8We1SCoS47DrQ/edit?usp=sharing"",""จัดที่ดิน!X80"")"),324.58)</f>
        <v>324.58</v>
      </c>
      <c r="K359" s="498">
        <f t="shared" ca="1" si="161"/>
        <v>81.144999999999996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IFERROR(__xludf.DUMMYFUNCTION("IMPORTRANGE(""https://docs.google.com/spreadsheets/d/1QqKyyYR6Q21VydFLVH3TRQUabQu_ym0Zz7PgGX0-kHA/edit?usp=sharing"",""แผน!EP80"")"),84)</f>
        <v>84</v>
      </c>
      <c r="J360" s="270">
        <f ca="1">IFERROR(__xludf.DUMMYFUNCTION("IMPORTRANGE(""https://docs.google.com/spreadsheets/d/1XWAQStnk-4SwqDmLtmXYiTMKHgktTP8We1SCoS47DrQ/edit?usp=sharing"",""จัดที่ดิน!Y80"")"),71)</f>
        <v>71</v>
      </c>
      <c r="K360" s="498">
        <f t="shared" ca="1" si="161"/>
        <v>84.523809523809518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IFERROR(__xludf.DUMMYFUNCTION("IMPORTRANGE(""https://docs.google.com/spreadsheets/d/1XWAQStnk-4SwqDmLtmXYiTMKHgktTP8We1SCoS47DrQ/edit?usp=sharing"",""จัดที่ดิน!Z80"")"),324.58)</f>
        <v>324.58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IFERROR(__xludf.DUMMYFUNCTION("IMPORTRANGE(""https://docs.google.com/spreadsheets/d/1QqKyyYR6Q21VydFLVH3TRQUabQu_ym0Zz7PgGX0-kHA/edit?usp=sharing"",""แผน!EP80"")"),84)</f>
        <v>84</v>
      </c>
      <c r="J362" s="270">
        <f ca="1">IFERROR(__xludf.DUMMYFUNCTION("IMPORTRANGE(""https://docs.google.com/spreadsheets/d/1XWAQStnk-4SwqDmLtmXYiTMKHgktTP8We1SCoS47DrQ/edit?usp=sharing"",""จัดที่ดิน!AA80"")"),56)</f>
        <v>56</v>
      </c>
      <c r="K362" s="498">
        <f t="shared" ca="1" si="161"/>
        <v>66.666666666666671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IFERROR(__xludf.DUMMYFUNCTION("IMPORTRANGE(""https://docs.google.com/spreadsheets/d/1XWAQStnk-4SwqDmLtmXYiTMKHgktTP8We1SCoS47DrQ/edit?usp=sharing"",""จัดที่ดิน!AB80"")"),274.47)</f>
        <v>274.47000000000003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134</v>
      </c>
      <c r="J364" s="479">
        <f t="shared" ca="1" si="162"/>
        <v>107</v>
      </c>
      <c r="K364" s="480">
        <f t="shared" ca="1" si="161"/>
        <v>79.850746268656721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IFERROR(__xludf.DUMMYFUNCTION("IMPORTRANGE(""https://docs.google.com/spreadsheets/d/1QqKyyYR6Q21VydFLVH3TRQUabQu_ym0Zz7PgGX0-kHA/edit?usp=sharing"",""แผน!EJ80"")"),30)</f>
        <v>30</v>
      </c>
      <c r="J365" s="491">
        <f ca="1">J372</f>
        <v>40</v>
      </c>
      <c r="K365" s="492">
        <f t="shared" ca="1" si="161"/>
        <v>133.33333333333334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IFERROR(__xludf.DUMMYFUNCTION("IMPORTRANGE(""https://docs.google.com/spreadsheets/d/1XWAQStnk-4SwqDmLtmXYiTMKHgktTP8We1SCoS47DrQ/edit?usp=sharing"",""จัดที่ดิน!E80"")"),41)</f>
        <v>41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IFERROR(__xludf.DUMMYFUNCTION("IMPORTRANGE(""https://docs.google.com/spreadsheets/d/1QqKyyYR6Q21VydFLVH3TRQUabQu_ym0Zz7PgGX0-kHA/edit?usp=sharing"",""แผน!EI80"")"),200)</f>
        <v>200</v>
      </c>
      <c r="J369" s="270">
        <f ca="1">IFERROR(__xludf.DUMMYFUNCTION("IMPORTRANGE(""https://docs.google.com/spreadsheets/d/1XWAQStnk-4SwqDmLtmXYiTMKHgktTP8We1SCoS47DrQ/edit?usp=sharing"",""จัดที่ดิน!F80"")"),203.85)</f>
        <v>203.85</v>
      </c>
      <c r="K369" s="498">
        <f t="shared" ca="1" si="163"/>
        <v>101.925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IFERROR(__xludf.DUMMYFUNCTION("IMPORTRANGE(""https://docs.google.com/spreadsheets/d/1QqKyyYR6Q21VydFLVH3TRQUabQu_ym0Zz7PgGX0-kHA/edit?usp=sharing"",""แผน!EJ80"")"),30)</f>
        <v>30</v>
      </c>
      <c r="J370" s="270">
        <f ca="1">IFERROR(__xludf.DUMMYFUNCTION("IMPORTRANGE(""https://docs.google.com/spreadsheets/d/1XWAQStnk-4SwqDmLtmXYiTMKHgktTP8We1SCoS47DrQ/edit?usp=sharing"",""จัดที่ดิน!G80"")"),41)</f>
        <v>41</v>
      </c>
      <c r="K370" s="498">
        <f t="shared" ca="1" si="163"/>
        <v>136.66666666666666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IFERROR(__xludf.DUMMYFUNCTION("IMPORTRANGE(""https://docs.google.com/spreadsheets/d/1XWAQStnk-4SwqDmLtmXYiTMKHgktTP8We1SCoS47DrQ/edit?usp=sharing"",""จัดที่ดิน!H80"")"),203.85)</f>
        <v>203.85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IFERROR(__xludf.DUMMYFUNCTION("IMPORTRANGE(""https://docs.google.com/spreadsheets/d/1QqKyyYR6Q21VydFLVH3TRQUabQu_ym0Zz7PgGX0-kHA/edit?usp=sharing"",""แผน!EJ80"")"),30)</f>
        <v>30</v>
      </c>
      <c r="J372" s="270">
        <f ca="1">IFERROR(__xludf.DUMMYFUNCTION("IMPORTRANGE(""https://docs.google.com/spreadsheets/d/1XWAQStnk-4SwqDmLtmXYiTMKHgktTP8We1SCoS47DrQ/edit?usp=sharing"",""จัดที่ดิน!I80"")"),40)</f>
        <v>40</v>
      </c>
      <c r="K372" s="498">
        <f t="shared" ca="1" si="163"/>
        <v>133.33333333333334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IFERROR(__xludf.DUMMYFUNCTION("IMPORTRANGE(""https://docs.google.com/spreadsheets/d/1XWAQStnk-4SwqDmLtmXYiTMKHgktTP8We1SCoS47DrQ/edit?usp=sharing"",""จัดที่ดิน!J80"")"),201.59)</f>
        <v>201.59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IFERROR(__xludf.DUMMYFUNCTION("IMPORTRANGE(""https://docs.google.com/spreadsheets/d/1QqKyyYR6Q21VydFLVH3TRQUabQu_ym0Zz7PgGX0-kHA/edit?usp=sharing"",""แผน!EU80"")"),104)</f>
        <v>104</v>
      </c>
      <c r="J374" s="491">
        <f ca="1">J381</f>
        <v>67</v>
      </c>
      <c r="K374" s="492">
        <f t="shared" ca="1" si="163"/>
        <v>64.42307692307692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IFERROR(__xludf.DUMMYFUNCTION("IMPORTRANGE(""https://docs.google.com/spreadsheets/d/1XWAQStnk-4SwqDmLtmXYiTMKHgktTP8We1SCoS47DrQ/edit?usp=sharing"",""จัดที่ดิน!AH80"")"),30)</f>
        <v>30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IFERROR(__xludf.DUMMYFUNCTION("IMPORTRANGE(""https://docs.google.com/spreadsheets/d/1QqKyyYR6Q21VydFLVH3TRQUabQu_ym0Zz7PgGX0-kHA/edit?usp=sharing"",""แผน!ET80"")"),200)</f>
        <v>200</v>
      </c>
      <c r="J378" s="270">
        <f ca="1">IFERROR(__xludf.DUMMYFUNCTION("IMPORTRANGE(""https://docs.google.com/spreadsheets/d/1XWAQStnk-4SwqDmLtmXYiTMKHgktTP8We1SCoS47DrQ/edit?usp=sharing"",""จัดที่ดิน!AI80"")"),120.73)</f>
        <v>120.73</v>
      </c>
      <c r="K378" s="498">
        <f t="shared" ca="1" si="164"/>
        <v>60.365000000000002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IFERROR(__xludf.DUMMYFUNCTION("IMPORTRANGE(""https://docs.google.com/spreadsheets/d/1QqKyyYR6Q21VydFLVH3TRQUabQu_ym0Zz7PgGX0-kHA/edit?usp=sharing"",""แผน!EU80"")"),104)</f>
        <v>104</v>
      </c>
      <c r="J379" s="270">
        <f ca="1">IFERROR(__xludf.DUMMYFUNCTION("IMPORTRANGE(""https://docs.google.com/spreadsheets/d/1XWAQStnk-4SwqDmLtmXYiTMKHgktTP8We1SCoS47DrQ/edit?usp=sharing"",""จัดที่ดิน!AJ80"")"),82)</f>
        <v>82</v>
      </c>
      <c r="K379" s="498">
        <f t="shared" ca="1" si="164"/>
        <v>78.84615384615384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IFERROR(__xludf.DUMMYFUNCTION("IMPORTRANGE(""https://docs.google.com/spreadsheets/d/1XWAQStnk-4SwqDmLtmXYiTMKHgktTP8We1SCoS47DrQ/edit?usp=sharing"",""จัดที่ดิน!AK80"")"),411.15)</f>
        <v>411.15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IFERROR(__xludf.DUMMYFUNCTION("IMPORTRANGE(""https://docs.google.com/spreadsheets/d/1QqKyyYR6Q21VydFLVH3TRQUabQu_ym0Zz7PgGX0-kHA/edit?usp=sharing"",""แผน!EU80"")"),104)</f>
        <v>104</v>
      </c>
      <c r="J381" s="270">
        <f ca="1">IFERROR(__xludf.DUMMYFUNCTION("IMPORTRANGE(""https://docs.google.com/spreadsheets/d/1XWAQStnk-4SwqDmLtmXYiTMKHgktTP8We1SCoS47DrQ/edit?usp=sharing"",""จัดที่ดิน!AL80"")"),67)</f>
        <v>67</v>
      </c>
      <c r="K381" s="498">
        <f t="shared" ca="1" si="164"/>
        <v>64.42307692307692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IFERROR(__xludf.DUMMYFUNCTION("IMPORTRANGE(""https://docs.google.com/spreadsheets/d/1XWAQStnk-4SwqDmLtmXYiTMKHgktTP8We1SCoS47DrQ/edit?usp=sharing"",""จัดที่ดิน!AM80"")"),359.219999999999)</f>
        <v>359.219999999999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IFERROR(__xludf.DUMMYFUNCTION("IMPORTRANGE(""https://docs.google.com/spreadsheets/d/1QqKyyYR6Q21VydFLVH3TRQUabQu_ym0Zz7PgGX0-kHA/edit?usp=sharing"",""แผน!EW80"")"),0)</f>
        <v>0</v>
      </c>
      <c r="J385" s="505">
        <f ca="1">IFERROR(__xludf.DUMMYFUNCTION("IMPORTRANGE(""https://docs.google.com/spreadsheets/d/1XWAQStnk-4SwqDmLtmXYiTMKHgktTP8We1SCoS47DrQ/edit?usp=sharing"",""จัดที่ดิน!AP80"")"),0)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IFERROR(__xludf.DUMMYFUNCTION("IMPORTRANGE(""https://docs.google.com/spreadsheets/d/1MeEWN-I1oV_STSDYn1IFDPWt_1FKiwhDph83XaGc0o0/edit?usp=sharing"",""งบพรบ!FG80"")"),0)</f>
        <v>0</v>
      </c>
      <c r="M394" s="93">
        <f ca="1">IFERROR(__xludf.DUMMYFUNCTION("IMPORTRANGE(""https://docs.google.com/spreadsheets/d/1MeEWN-I1oV_STSDYn1IFDPWt_1FKiwhDph83XaGc0o0/edit?usp=sharing"",""งบพรบ!FL80"")"),0)</f>
        <v>0</v>
      </c>
      <c r="N394" s="93">
        <f ca="1">IFERROR(__xludf.DUMMYFUNCTION("IMPORTRANGE(""https://docs.google.com/spreadsheets/d/1MeEWN-I1oV_STSDYn1IFDPWt_1FKiwhDph83XaGc0o0/edit?usp=sharing"",""งบพรบ!FN80"")"),0)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IFERROR(__xludf.DUMMYFUNCTION("IMPORTRANGE(""https://docs.google.com/spreadsheets/d/1MeEWN-I1oV_STSDYn1IFDPWt_1FKiwhDph83XaGc0o0/edit?usp=sharing"",""งบพรบ!FJ80"")"),0)</f>
        <v>0</v>
      </c>
      <c r="M397" s="93">
        <f ca="1">IFERROR(__xludf.DUMMYFUNCTION("IMPORTRANGE(""https://docs.google.com/spreadsheets/d/1MeEWN-I1oV_STSDYn1IFDPWt_1FKiwhDph83XaGc0o0/edit?usp=sharing"",""งบพรบ!FM80"")"),0)</f>
        <v>0</v>
      </c>
      <c r="N397" s="93">
        <f ca="1">IFERROR(__xludf.DUMMYFUNCTION("IMPORTRANGE(""https://docs.google.com/spreadsheets/d/1MeEWN-I1oV_STSDYn1IFDPWt_1FKiwhDph83XaGc0o0/edit?usp=sharing"",""งบพรบ!FO80"")"),0)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IFERROR(__xludf.DUMMYFUNCTION("IMPORTRANGE(""https://docs.google.com/spreadsheets/d/1MeEWN-I1oV_STSDYn1IFDPWt_1FKiwhDph83XaGc0o0/edit?usp=sharing"",""งบพรบ!FQ80"")"),0)</f>
        <v>0</v>
      </c>
      <c r="M407" s="93">
        <f ca="1">IFERROR(__xludf.DUMMYFUNCTION("IMPORTRANGE(""https://docs.google.com/spreadsheets/d/1MeEWN-I1oV_STSDYn1IFDPWt_1FKiwhDph83XaGc0o0/edit?usp=sharing"",""งบพรบ!FV80"")"),0)</f>
        <v>0</v>
      </c>
      <c r="N407" s="93">
        <f ca="1">IFERROR(__xludf.DUMMYFUNCTION("IMPORTRANGE(""https://docs.google.com/spreadsheets/d/1MeEWN-I1oV_STSDYn1IFDPWt_1FKiwhDph83XaGc0o0/edit?usp=sharing"",""งบพรบ!FX80"")"),0)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IFERROR(__xludf.DUMMYFUNCTION("IMPORTRANGE(""https://docs.google.com/spreadsheets/d/1MeEWN-I1oV_STSDYn1IFDPWt_1FKiwhDph83XaGc0o0/edit?usp=sharing"",""งบพรบ!FT80"")"),0)</f>
        <v>0</v>
      </c>
      <c r="M410" s="93">
        <f ca="1">IFERROR(__xludf.DUMMYFUNCTION("IMPORTRANGE(""https://docs.google.com/spreadsheets/d/1MeEWN-I1oV_STSDYn1IFDPWt_1FKiwhDph83XaGc0o0/edit?usp=sharing"",""งบพรบ!FW80"")"),0)</f>
        <v>0</v>
      </c>
      <c r="N410" s="93">
        <f ca="1">IFERROR(__xludf.DUMMYFUNCTION("IMPORTRANGE(""https://docs.google.com/spreadsheets/d/1MeEWN-I1oV_STSDYn1IFDPWt_1FKiwhDph83XaGc0o0/edit?usp=sharing"",""งบพรบ!FY80"")"),0)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584321</v>
      </c>
      <c r="M414" s="553">
        <f t="shared" ca="1" si="181"/>
        <v>584321</v>
      </c>
      <c r="N414" s="553">
        <f t="shared" si="181"/>
        <v>266476</v>
      </c>
      <c r="O414" s="553">
        <f ca="1">IF(L414&gt;0,N414*100/L414,0)</f>
        <v>45.604385260841212</v>
      </c>
      <c r="P414" s="553">
        <f ca="1">IF(M414&gt;0,N414*100/M414,0)</f>
        <v>45.604385260841212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55050</v>
      </c>
      <c r="O419" s="155">
        <f t="shared" ref="O419:O424" ca="1" si="185">IF(L419&gt;0,N419*100/L419,0)</f>
        <v>82.707331730769226</v>
      </c>
      <c r="P419" s="155">
        <f t="shared" ref="P419:P424" ca="1" si="186">IF(M419&gt;0,N419*100/M419,0)</f>
        <v>82.707331730769226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55050</v>
      </c>
      <c r="O421" s="93">
        <f t="shared" ca="1" si="185"/>
        <v>82.707331730769226</v>
      </c>
      <c r="P421" s="93">
        <f t="shared" ca="1" si="186"/>
        <v>82.707331730769226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55050</v>
      </c>
      <c r="O422" s="498">
        <f t="shared" ca="1" si="185"/>
        <v>82.707331730769226</v>
      </c>
      <c r="P422" s="498">
        <f t="shared" ca="1" si="186"/>
        <v>82.707331730769226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IFERROR(__xludf.DUMMYFUNCTION("IMPORTRANGE(""https://docs.google.com/spreadsheets/d/1QqKyyYR6Q21VydFLVH3TRQUabQu_ym0Zz7PgGX0-kHA/edit?usp=sharing"",""แผน!EY80"")"),66560)</f>
        <v>66560</v>
      </c>
      <c r="M424" s="93">
        <f ca="1">L424</f>
        <v>66560</v>
      </c>
      <c r="N424" s="93">
        <f>N425+N426+N427+N428</f>
        <v>55050</v>
      </c>
      <c r="O424" s="93">
        <f t="shared" ca="1" si="185"/>
        <v>82.707331730769226</v>
      </c>
      <c r="P424" s="93">
        <f t="shared" ca="1" si="186"/>
        <v>82.707331730769226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36300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5400+9850+3500</f>
        <v>18750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IFERROR(__xludf.DUMMYFUNCTION("IMPORTRANGE(""https://docs.google.com/spreadsheets/d/1QqKyyYR6Q21VydFLVH3TRQUabQu_ym0Zz7PgGX0-kHA/edit?usp=sharing"",""แผน!FC80"")"),15)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IFERROR(__xludf.DUMMYFUNCTION("IMPORTRANGE(""https://docs.google.com/spreadsheets/d/1QqKyyYR6Q21VydFLVH3TRQUabQu_ym0Zz7PgGX0-kHA/edit?usp=sharing"",""แผน!FD80"")"),0)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IFERROR(__xludf.DUMMYFUNCTION("IMPORTRANGE(""https://docs.google.com/spreadsheets/d/1QqKyyYR6Q21VydFLVH3TRQUabQu_ym0Zz7PgGX0-kHA/edit?usp=sharing"",""แผน!FE80"")"),0)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IFERROR(__xludf.DUMMYFUNCTION("IMPORTRANGE(""https://docs.google.com/spreadsheets/d/1QqKyyYR6Q21VydFLVH3TRQUabQu_ym0Zz7PgGX0-kHA/edit?usp=sharing"",""แผน!FF80"")"),15)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IFERROR(__xludf.DUMMYFUNCTION("IMPORTRANGE(""https://docs.google.com/spreadsheets/d/1QqKyyYR6Q21VydFLVH3TRQUabQu_ym0Zz7PgGX0-kHA/edit?usp=sharing"",""แผน!FG80"")"),1)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IFERROR(__xludf.DUMMYFUNCTION("IMPORTRANGE(""https://docs.google.com/spreadsheets/d/1QqKyyYR6Q21VydFLVH3TRQUabQu_ym0Zz7PgGX0-kHA/edit?usp=sharing"",""แผน!FH80"")"),0)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10</v>
      </c>
      <c r="J442" s="589">
        <f t="shared" si="195"/>
        <v>10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20</v>
      </c>
      <c r="J443" s="569">
        <f t="shared" si="196"/>
        <v>20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69160</v>
      </c>
      <c r="M444" s="195">
        <f t="shared" ca="1" si="197"/>
        <v>69160</v>
      </c>
      <c r="N444" s="195">
        <f t="shared" si="197"/>
        <v>63820</v>
      </c>
      <c r="O444" s="195">
        <f t="shared" ref="O444:O449" ca="1" si="198">IF(L444&gt;0,N444*100/L444,0)</f>
        <v>92.27877385772122</v>
      </c>
      <c r="P444" s="195">
        <f t="shared" ref="P444:P449" ca="1" si="199">IF(M444&gt;0,N444*100/M444,0)</f>
        <v>92.27877385772122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69160</v>
      </c>
      <c r="M446" s="93">
        <f t="shared" ca="1" si="200"/>
        <v>69160</v>
      </c>
      <c r="N446" s="93">
        <f t="shared" si="200"/>
        <v>63820</v>
      </c>
      <c r="O446" s="93">
        <f t="shared" ca="1" si="198"/>
        <v>92.27877385772122</v>
      </c>
      <c r="P446" s="93">
        <f t="shared" ca="1" si="199"/>
        <v>92.27877385772122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69160</v>
      </c>
      <c r="M447" s="498">
        <f t="shared" ca="1" si="201"/>
        <v>69160</v>
      </c>
      <c r="N447" s="498">
        <f t="shared" si="201"/>
        <v>63820</v>
      </c>
      <c r="O447" s="498">
        <f t="shared" ca="1" si="198"/>
        <v>92.27877385772122</v>
      </c>
      <c r="P447" s="498">
        <f t="shared" ca="1" si="199"/>
        <v>92.27877385772122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IFERROR(__xludf.DUMMYFUNCTION("IMPORTRANGE(""https://docs.google.com/spreadsheets/d/1QqKyyYR6Q21VydFLVH3TRQUabQu_ym0Zz7PgGX0-kHA/edit?usp=sharing"",""แผน!FJ80"")"),69160)</f>
        <v>69160</v>
      </c>
      <c r="M449" s="93">
        <f ca="1">L449</f>
        <v>69160</v>
      </c>
      <c r="N449" s="93">
        <f>N450+N451+N452+N453</f>
        <v>63820</v>
      </c>
      <c r="O449" s="93">
        <f t="shared" ca="1" si="198"/>
        <v>92.27877385772122</v>
      </c>
      <c r="P449" s="93">
        <f t="shared" ca="1" si="199"/>
        <v>92.27877385772122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17200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26000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20620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IFERROR(__xludf.DUMMYFUNCTION("IMPORTRANGE(""https://docs.google.com/spreadsheets/d/1QqKyyYR6Q21VydFLVH3TRQUabQu_ym0Zz7PgGX0-kHA/edit?usp=sharing"",""แผน!FN80"")"),10)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IFERROR(__xludf.DUMMYFUNCTION("IMPORTRANGE(""https://docs.google.com/spreadsheets/d/1QqKyyYR6Q21VydFLVH3TRQUabQu_ym0Zz7PgGX0-kHA/edit?usp=sharing"",""แผน!FO80"")"),20)</f>
        <v>20</v>
      </c>
      <c r="J462" s="215">
        <v>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IFERROR(__xludf.DUMMYFUNCTION("IMPORTRANGE(""https://docs.google.com/spreadsheets/d/1QqKyyYR6Q21VydFLVH3TRQUabQu_ym0Zz7PgGX0-kHA/edit?usp=sharing"",""แผน!FO80"")"),20)</f>
        <v>20</v>
      </c>
      <c r="J463" s="215">
        <v>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IFERROR(__xludf.DUMMYFUNCTION("IMPORTRANGE(""https://docs.google.com/spreadsheets/d/1QqKyyYR6Q21VydFLVH3TRQUabQu_ym0Zz7PgGX0-kHA/edit?usp=sharing"",""แผน!FN80"")"),10)</f>
        <v>10</v>
      </c>
      <c r="J464" s="215">
        <v>10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IFERROR(__xludf.DUMMYFUNCTION("IMPORTRANGE(""https://docs.google.com/spreadsheets/d/1QqKyyYR6Q21VydFLVH3TRQUabQu_ym0Zz7PgGX0-kHA/edit?usp=sharing"",""แผน!FX80"")"),11)</f>
        <v>11</v>
      </c>
      <c r="J465" s="589">
        <f>J485+J489+J492</f>
        <v>11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IFERROR(__xludf.DUMMYFUNCTION("IMPORTRANGE(""https://docs.google.com/spreadsheets/d/1QqKyyYR6Q21VydFLVH3TRQUabQu_ym0Zz7PgGX0-kHA/edit?usp=sharing"",""แผน!FW80"")"),100)</f>
        <v>100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114323</v>
      </c>
      <c r="M467" s="195">
        <f t="shared" ca="1" si="206"/>
        <v>114323</v>
      </c>
      <c r="N467" s="195">
        <f t="shared" si="206"/>
        <v>29633</v>
      </c>
      <c r="O467" s="195">
        <f t="shared" ref="O467:O472" ca="1" si="207">IF(L467&gt;0,N467*100/L467,0)</f>
        <v>25.920418463476292</v>
      </c>
      <c r="P467" s="195">
        <f t="shared" ref="P467:P472" ca="1" si="208">IF(M467&gt;0,N467*100/M467,0)</f>
        <v>25.920418463476292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114323</v>
      </c>
      <c r="M469" s="93">
        <f t="shared" ca="1" si="209"/>
        <v>114323</v>
      </c>
      <c r="N469" s="93">
        <f t="shared" si="209"/>
        <v>29633</v>
      </c>
      <c r="O469" s="93">
        <f t="shared" ca="1" si="207"/>
        <v>25.920418463476292</v>
      </c>
      <c r="P469" s="93">
        <f t="shared" ca="1" si="208"/>
        <v>25.920418463476292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114323</v>
      </c>
      <c r="M470" s="498">
        <f t="shared" ca="1" si="210"/>
        <v>114323</v>
      </c>
      <c r="N470" s="498">
        <f t="shared" si="210"/>
        <v>29633</v>
      </c>
      <c r="O470" s="498">
        <f t="shared" ca="1" si="207"/>
        <v>25.920418463476292</v>
      </c>
      <c r="P470" s="498">
        <f t="shared" ca="1" si="208"/>
        <v>25.920418463476292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IFERROR(__xludf.DUMMYFUNCTION("IMPORTRANGE(""https://docs.google.com/spreadsheets/d/1QqKyyYR6Q21VydFLVH3TRQUabQu_ym0Zz7PgGX0-kHA/edit?usp=sharing"",""แผน!FS80"")"),114323)</f>
        <v>114323</v>
      </c>
      <c r="M472" s="93">
        <f ca="1">L472</f>
        <v>114323</v>
      </c>
      <c r="N472" s="93">
        <f>N473+N474+N475+N476</f>
        <v>29633</v>
      </c>
      <c r="O472" s="93">
        <f t="shared" ca="1" si="207"/>
        <v>25.920418463476292</v>
      </c>
      <c r="P472" s="93">
        <f t="shared" ca="1" si="208"/>
        <v>25.920418463476292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26683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500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1400+300+750</f>
        <v>2450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IFERROR(__xludf.DUMMYFUNCTION("IMPORTRANGE(""https://docs.google.com/spreadsheets/d/1QqKyyYR6Q21VydFLVH3TRQUabQu_ym0Zz7PgGX0-kHA/edit?usp=sharing"",""แผน!FY80"")"),90)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IFERROR(__xludf.DUMMYFUNCTION("IMPORTRANGE(""https://docs.google.com/spreadsheets/d/1QqKyyYR6Q21VydFLVH3TRQUabQu_ym0Zz7PgGX0-kHA/edit?usp=sharing"",""แผน!FZ80"")"),9)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IFERROR(__xludf.DUMMYFUNCTION("IMPORTRANGE(""https://docs.google.com/spreadsheets/d/1QqKyyYR6Q21VydFLVH3TRQUabQu_ym0Zz7PgGX0-kHA/edit?usp=sharing"",""แผน!GA80"")"),10)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IFERROR(__xludf.DUMMYFUNCTION("IMPORTRANGE(""https://docs.google.com/spreadsheets/d/1QqKyyYR6Q21VydFLVH3TRQUabQu_ym0Zz7PgGX0-kHA/edit?usp=sharing"",""แผน!GB80"")"),1)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IFERROR(__xludf.DUMMYFUNCTION("IMPORTRANGE(""https://docs.google.com/spreadsheets/d/1QqKyyYR6Q21VydFLVH3TRQUabQu_ym0Zz7PgGX0-kHA/edit?usp=sharing"",""แผน!GC80"")"),1)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IFERROR(__xludf.DUMMYFUNCTION("IMPORTRANGE(""https://docs.google.com/spreadsheets/d/1QqKyyYR6Q21VydFLVH3TRQUabQu_ym0Zz7PgGX0-kHA/edit?usp=sharing"",""แผน!FY80"")"),90)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IFERROR(__xludf.DUMMYFUNCTION("IMPORTRANGE(""https://docs.google.com/spreadsheets/d/1QqKyyYR6Q21VydFLVH3TRQUabQu_ym0Zz7PgGX0-kHA/edit?usp=sharing"",""แผน!GA80"")"),10)</f>
        <v>10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IFERROR(__xludf.DUMMYFUNCTION("IMPORTRANGE(""https://docs.google.com/spreadsheets/d/1QqKyyYR6Q21VydFLVH3TRQUabQu_ym0Zz7PgGX0-kHA/edit?usp=sharing"",""แผน!GU80"")"),0)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IFERROR(__xludf.DUMMYFUNCTION("IMPORTRANGE(""https://docs.google.com/spreadsheets/d/1QqKyyYR6Q21VydFLVH3TRQUabQu_ym0Zz7PgGX0-kHA/edit?usp=sharing"",""แผน!GV80"")"),0)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IFERROR(__xludf.DUMMYFUNCTION("IMPORTRANGE(""https://docs.google.com/spreadsheets/d/1QqKyyYR6Q21VydFLVH3TRQUabQu_ym0Zz7PgGX0-kHA/edit?usp=sharing"",""แผน!GW80"")"),0)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IFERROR(__xludf.DUMMYFUNCTION("IMPORTRANGE(""https://docs.google.com/spreadsheets/d/1QqKyyYR6Q21VydFLVH3TRQUabQu_ym0Zz7PgGX0-kHA/edit?usp=sharing"",""แผน!GX80"")"),0)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IFERROR(__xludf.DUMMYFUNCTION("IMPORTRANGE(""https://docs.google.com/spreadsheets/d/1QqKyyYR6Q21VydFLVH3TRQUabQu_ym0Zz7PgGX0-kHA/edit?usp=sharing"",""แผน!GY80"")"),0)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IFERROR(__xludf.DUMMYFUNCTION("IMPORTRANGE(""https://docs.google.com/spreadsheets/d/1QqKyyYR6Q21VydFLVH3TRQUabQu_ym0Zz7PgGX0-kHA/edit?usp=sharing"",""แผน!GZ80"")"),0)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6591</v>
      </c>
      <c r="J543" s="686">
        <f t="shared" si="235"/>
        <v>0</v>
      </c>
      <c r="K543" s="687">
        <f t="shared" ca="1" si="234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299718</v>
      </c>
      <c r="M544" s="155">
        <f t="shared" ca="1" si="236"/>
        <v>299718</v>
      </c>
      <c r="N544" s="155">
        <f t="shared" si="236"/>
        <v>110357</v>
      </c>
      <c r="O544" s="155">
        <f t="shared" ref="O544:O549" ca="1" si="237">IF(L544&gt;0,N544*100/L544,0)</f>
        <v>36.820277727730733</v>
      </c>
      <c r="P544" s="155">
        <f t="shared" ref="P544:P549" ca="1" si="238">IF(M544&gt;0,N544*100/M544,0)</f>
        <v>36.820277727730733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299718</v>
      </c>
      <c r="M546" s="93">
        <f t="shared" ca="1" si="240"/>
        <v>299718</v>
      </c>
      <c r="N546" s="93">
        <f t="shared" si="240"/>
        <v>110357</v>
      </c>
      <c r="O546" s="93">
        <f t="shared" ca="1" si="237"/>
        <v>36.820277727730733</v>
      </c>
      <c r="P546" s="93">
        <f t="shared" ca="1" si="238"/>
        <v>36.820277727730733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299718</v>
      </c>
      <c r="M547" s="498">
        <f t="shared" ca="1" si="241"/>
        <v>299718</v>
      </c>
      <c r="N547" s="498">
        <f t="shared" si="241"/>
        <v>110357</v>
      </c>
      <c r="O547" s="498">
        <f t="shared" ca="1" si="237"/>
        <v>36.820277727730733</v>
      </c>
      <c r="P547" s="498">
        <f t="shared" ca="1" si="238"/>
        <v>36.820277727730733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IFERROR(__xludf.DUMMYFUNCTION("IMPORTRANGE(""https://docs.google.com/spreadsheets/d/1QqKyyYR6Q21VydFLVH3TRQUabQu_ym0Zz7PgGX0-kHA/edit?usp=sharing"",""แผน!HB80"")"),299718)</f>
        <v>299718</v>
      </c>
      <c r="M549" s="93">
        <f ca="1">L549</f>
        <v>299718</v>
      </c>
      <c r="N549" s="93">
        <f>N550+N551+N552+N553+N554</f>
        <v>110357</v>
      </c>
      <c r="O549" s="93">
        <f t="shared" ca="1" si="237"/>
        <v>36.820277727730733</v>
      </c>
      <c r="P549" s="93">
        <f t="shared" ca="1" si="238"/>
        <v>36.820277727730733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65000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45357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6591</v>
      </c>
      <c r="J559" s="707">
        <f t="shared" si="245"/>
        <v>0</v>
      </c>
      <c r="K559" s="676">
        <f t="shared" ref="K559:K561" ca="1" si="246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IFERROR(__xludf.DUMMYFUNCTION("IMPORTRANGE(""https://docs.google.com/spreadsheets/d/1QqKyyYR6Q21VydFLVH3TRQUabQu_ym0Zz7PgGX0-kHA/edit?usp=sharing"",""แผน!HH80"")"),6591)</f>
        <v>6591</v>
      </c>
      <c r="J560" s="193">
        <f t="shared" ref="J560:J561" si="247">J562+J564+J566</f>
        <v>5600.0199999999995</v>
      </c>
      <c r="K560" s="412">
        <f t="shared" ca="1" si="246"/>
        <v>84.964648763465334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IFERROR(__xludf.DUMMYFUNCTION("IMPORTRANGE(""https://docs.google.com/spreadsheets/d/1QqKyyYR6Q21VydFLVH3TRQUabQu_ym0Zz7PgGX0-kHA/edit?usp=sharing"",""แผน!HG80"")"),1075)</f>
        <v>1075</v>
      </c>
      <c r="J561" s="193">
        <f t="shared" si="247"/>
        <v>940</v>
      </c>
      <c r="K561" s="412">
        <f t="shared" ca="1" si="246"/>
        <v>87.441860465116278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4203.7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723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1029.3499999999999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154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366.97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63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IFERROR(__xludf.DUMMYFUNCTION("IMPORTRANGE(""https://docs.google.com/spreadsheets/d/1QqKyyYR6Q21VydFLVH3TRQUabQu_ym0Zz7PgGX0-kHA/edit?usp=sharing"",""แผน!HH80"")"),6591)</f>
        <v>6591</v>
      </c>
      <c r="J568" s="680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IFERROR(__xludf.DUMMYFUNCTION("IMPORTRANGE(""https://docs.google.com/spreadsheets/d/1QqKyyYR6Q21VydFLVH3TRQUabQu_ym0Zz7PgGX0-kHA/edit?usp=sharing"",""แผน!HG80"")"),1075)</f>
        <v>1075</v>
      </c>
      <c r="J569" s="680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IFERROR(__xludf.DUMMYFUNCTION("IMPORTRANGE(""https://docs.google.com/spreadsheets/d/1QqKyyYR6Q21VydFLVH3TRQUabQu_ym0Zz7PgGX0-kHA/edit?usp=sharing"",""แผน!HH80"")"),6591)</f>
        <v>6591</v>
      </c>
      <c r="J576" s="680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IFERROR(__xludf.DUMMYFUNCTION("IMPORTRANGE(""https://docs.google.com/spreadsheets/d/1QqKyyYR6Q21VydFLVH3TRQUabQu_ym0Zz7PgGX0-kHA/edit?usp=sharing"",""แผน!HG80"")"),1075)</f>
        <v>1075</v>
      </c>
      <c r="J577" s="680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1539.76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IFERROR(__xludf.DUMMYFUNCTION("IMPORTRANGE(""https://docs.google.com/spreadsheets/d/1QqKyyYR6Q21VydFLVH3TRQUabQu_ym0Zz7PgGX0-kHA/edit?usp=sharing"",""แผน!HJ80"")"),1539.76)</f>
        <v>1539.76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IFERROR(__xludf.DUMMYFUNCTION("IMPORTRANGE(""https://docs.google.com/spreadsheets/d/1QqKyyYR6Q21VydFLVH3TRQUabQu_ym0Zz7PgGX0-kHA/edit?usp=sharing"",""แผน!HI80"")"),224)</f>
        <v>224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IFERROR(__xludf.DUMMYFUNCTION("IMPORTRANGE(""https://docs.google.com/spreadsheets/d/1QqKyyYR6Q21VydFLVH3TRQUabQu_ym0Zz7PgGX0-kHA/edit?usp=sharing"",""แผน!HL80"")"),0)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IFERROR(__xludf.DUMMYFUNCTION("IMPORTRANGE(""https://docs.google.com/spreadsheets/d/1QqKyyYR6Q21VydFLVH3TRQUabQu_ym0Zz7PgGX0-kHA/edit?usp=sharing"",""แผน!HK80"")"),0)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IFERROR(__xludf.DUMMYFUNCTION("IMPORTRANGE(""https://docs.google.com/spreadsheets/d/1QqKyyYR6Q21VydFLVH3TRQUabQu_ym0Zz7PgGX0-kHA/edit?usp=sharing"",""แผน!HN80"")"),0)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IFERROR(__xludf.DUMMYFUNCTION("IMPORTRANGE(""https://docs.google.com/spreadsheets/d/1QqKyyYR6Q21VydFLVH3TRQUabQu_ym0Zz7PgGX0-kHA/edit?usp=sharing"",""แผน!HR80"")"),0)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IFERROR(__xludf.DUMMYFUNCTION("IMPORTRANGE(""https://docs.google.com/spreadsheets/d/1QqKyyYR6Q21VydFLVH3TRQUabQu_ym0Zz7PgGX0-kHA/edit?usp=sharing"",""แผน!HR80"")"),0)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IFERROR(__xludf.DUMMYFUNCTION("IMPORTRANGE(""https://docs.google.com/spreadsheets/d/1XWAQStnk-4SwqDmLtmXYiTMKHgktTP8We1SCoS47DrQ/edit?usp=sharing"",""จัดที่ดิน!AS80"")"),0)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IFERROR(__xludf.DUMMYFUNCTION("IMPORTRANGE(""https://docs.google.com/spreadsheets/d/1XWAQStnk-4SwqDmLtmXYiTMKHgktTP8We1SCoS47DrQ/edit?usp=sharing"",""จัดที่ดิน!AT80"")"),0)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IFERROR(__xludf.DUMMYFUNCTION("IMPORTRANGE(""https://docs.google.com/spreadsheets/d/1QqKyyYR6Q21VydFLVH3TRQUabQu_ym0Zz7PgGX0-kHA/edit?usp=sharing"",""แผน!HS80"")"),0)</f>
        <v>0</v>
      </c>
      <c r="J647" s="270">
        <f ca="1">IFERROR(__xludf.DUMMYFUNCTION("IMPORTRANGE(""https://docs.google.com/spreadsheets/d/1XWAQStnk-4SwqDmLtmXYiTMKHgktTP8We1SCoS47DrQ/edit?usp=sharing"",""จัดที่ดิน!AU80"")"),0)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IFERROR(__xludf.DUMMYFUNCTION("IMPORTRANGE(""https://docs.google.com/spreadsheets/d/1XWAQStnk-4SwqDmLtmXYiTMKHgktTP8We1SCoS47DrQ/edit?usp=sharing"",""จัดที่ดิน!AV80"")"),0)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IFERROR(__xludf.DUMMYFUNCTION("IMPORTRANGE(""https://docs.google.com/spreadsheets/d/1QqKyyYR6Q21VydFLVH3TRQUabQu_ym0Zz7PgGX0-kHA/edit?usp=sharing"",""แผน!HS80"")"),0)</f>
        <v>0</v>
      </c>
      <c r="J649" s="270">
        <f ca="1">IFERROR(__xludf.DUMMYFUNCTION("IMPORTRANGE(""https://docs.google.com/spreadsheets/d/1XWAQStnk-4SwqDmLtmXYiTMKHgktTP8We1SCoS47DrQ/edit?usp=sharing"",""จัดที่ดิน!AW80"")"),0)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IFERROR(__xludf.DUMMYFUNCTION("IMPORTRANGE(""https://docs.google.com/spreadsheets/d/1XWAQStnk-4SwqDmLtmXYiTMKHgktTP8We1SCoS47DrQ/edit?usp=sharing"",""จัดที่ดิน!AX80"")"),0)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IFERROR(__xludf.DUMMYFUNCTION("IMPORTRANGE(""https://docs.google.com/spreadsheets/d/1QqKyyYR6Q21VydFLVH3TRQUabQu_ym0Zz7PgGX0-kHA/edit?usp=sharing"",""แผน!HS80"")"),0)</f>
        <v>0</v>
      </c>
      <c r="J651" s="270">
        <f ca="1">IFERROR(__xludf.DUMMYFUNCTION("IMPORTRANGE(""https://docs.google.com/spreadsheets/d/1XWAQStnk-4SwqDmLtmXYiTMKHgktTP8We1SCoS47DrQ/edit?usp=sharing"",""จัดที่ดิน!AY80"")"),0)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IFERROR(__xludf.DUMMYFUNCTION("IMPORTRANGE(""https://docs.google.com/spreadsheets/d/1XWAQStnk-4SwqDmLtmXYiTMKHgktTP8We1SCoS47DrQ/edit?usp=sharing"",""จัดที่ดิน!AZ80"")"),0)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6616</v>
      </c>
      <c r="O655" s="195">
        <f t="shared" ref="O655:O660" ca="1" si="274">IF(L655&gt;0,N655*100/L655,0)</f>
        <v>60.145454545454548</v>
      </c>
      <c r="P655" s="195">
        <f t="shared" ref="P655:P660" ca="1" si="275">IF(M655&gt;0,N655*100/M655,0)</f>
        <v>60.145454545454548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6616</v>
      </c>
      <c r="O657" s="93">
        <f t="shared" ca="1" si="274"/>
        <v>60.145454545454548</v>
      </c>
      <c r="P657" s="93">
        <f t="shared" ca="1" si="275"/>
        <v>60.145454545454548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11000</v>
      </c>
      <c r="M658" s="498">
        <f t="shared" ca="1" si="277"/>
        <v>11000</v>
      </c>
      <c r="N658" s="498">
        <f t="shared" si="277"/>
        <v>6616</v>
      </c>
      <c r="O658" s="498">
        <f t="shared" ca="1" si="274"/>
        <v>60.145454545454548</v>
      </c>
      <c r="P658" s="498">
        <f t="shared" ca="1" si="275"/>
        <v>60.145454545454548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IFERROR(__xludf.DUMMYFUNCTION("IMPORTRANGE(""https://docs.google.com/spreadsheets/d/1QqKyyYR6Q21VydFLVH3TRQUabQu_ym0Zz7PgGX0-kHA/edit?usp=sharing"",""แผน!HV80"")"),11000)</f>
        <v>11000</v>
      </c>
      <c r="M660" s="93">
        <f ca="1">L660</f>
        <v>11000</v>
      </c>
      <c r="N660" s="93">
        <f>N661+N662+N663+N664</f>
        <v>6616</v>
      </c>
      <c r="O660" s="93">
        <f t="shared" ca="1" si="274"/>
        <v>60.145454545454548</v>
      </c>
      <c r="P660" s="93">
        <f t="shared" ca="1" si="275"/>
        <v>60.145454545454548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6616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IFERROR(__xludf.DUMMYFUNCTION("IMPORTRANGE(""https://docs.google.com/spreadsheets/d/1QqKyyYR6Q21VydFLVH3TRQUabQu_ym0Zz7PgGX0-kHA/edit?usp=sharing"",""แผน!IA80"")"),50)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IFERROR(__xludf.DUMMYFUNCTION("IMPORTRANGE(""https://docs.google.com/spreadsheets/d/1QqKyyYR6Q21VydFLVH3TRQUabQu_ym0Zz7PgGX0-kHA/edit?usp=sharing"",""แผน!HZ80"")"),5)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IFERROR(__xludf.DUMMYFUNCTION("IMPORTRANGE(""https://docs.google.com/spreadsheets/d/1QqKyyYR6Q21VydFLVH3TRQUabQu_ym0Zz7PgGX0-kHA/edit?usp=sharing"",""แผน!HZ80"")"),5)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IFERROR(__xludf.DUMMYFUNCTION("IMPORTRANGE(""https://docs.google.com/spreadsheets/d/1QqKyyYR6Q21VydFLVH3TRQUabQu_ym0Zz7PgGX0-kHA/edit?usp=sharing"",""แผน!IB80"")"),0)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23560</v>
      </c>
      <c r="M685" s="195">
        <f t="shared" ca="1" si="282"/>
        <v>23560</v>
      </c>
      <c r="N685" s="195">
        <f t="shared" si="282"/>
        <v>1000</v>
      </c>
      <c r="O685" s="195">
        <f t="shared" ref="O685:O688" ca="1" si="283">IF(L685&gt;0,N685*100/L685,0)</f>
        <v>4.2444821731748723</v>
      </c>
      <c r="P685" s="195">
        <f t="shared" ref="P685:P688" ca="1" si="284">IF(M685&gt;0,N685*100/M685,0)</f>
        <v>4.2444821731748723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23560</v>
      </c>
      <c r="M687" s="93">
        <f t="shared" ca="1" si="285"/>
        <v>23560</v>
      </c>
      <c r="N687" s="93">
        <f t="shared" si="285"/>
        <v>1000</v>
      </c>
      <c r="O687" s="93">
        <f t="shared" ca="1" si="283"/>
        <v>4.2444821731748723</v>
      </c>
      <c r="P687" s="93">
        <f t="shared" ca="1" si="284"/>
        <v>4.2444821731748723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23560</v>
      </c>
      <c r="M688" s="498">
        <f t="shared" ca="1" si="286"/>
        <v>23560</v>
      </c>
      <c r="N688" s="498">
        <f t="shared" si="286"/>
        <v>1000</v>
      </c>
      <c r="O688" s="498">
        <f t="shared" ca="1" si="283"/>
        <v>4.2444821731748723</v>
      </c>
      <c r="P688" s="498">
        <f t="shared" ca="1" si="284"/>
        <v>4.2444821731748723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IFERROR(__xludf.DUMMYFUNCTION("IMPORTRANGE(""https://docs.google.com/spreadsheets/d/1QqKyyYR6Q21VydFLVH3TRQUabQu_ym0Zz7PgGX0-kHA/edit?usp=sharing"",""แผน!HW80"")"),23560)</f>
        <v>23560</v>
      </c>
      <c r="M690" s="93">
        <f ca="1">L690</f>
        <v>23560</v>
      </c>
      <c r="N690" s="93">
        <f>N691+N692+N693+N694</f>
        <v>1000</v>
      </c>
      <c r="O690" s="93">
        <f ca="1">IF(L690&gt;0,N690*100/L690,0)</f>
        <v>4.2444821731748723</v>
      </c>
      <c r="P690" s="93">
        <f ca="1">IF(M690&gt;0,N690*100/M690,0)</f>
        <v>4.2444821731748723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1000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IFERROR(__xludf.DUMMYFUNCTION("IMPORTRANGE(""https://docs.google.com/spreadsheets/d/1QqKyyYR6Q21VydFLVH3TRQUabQu_ym0Zz7PgGX0-kHA/edit?usp=sharing"",""แผน!IC80"")"),0)</f>
        <v>0</v>
      </c>
      <c r="J699" s="270">
        <f ca="1">IFERROR(__xludf.DUMMYFUNCTION("IMPORTRANGE(""https://docs.google.com/spreadsheets/d/1XWAQStnk-4SwqDmLtmXYiTMKHgktTP8We1SCoS47DrQ/edit?usp=sharing"",""จัดที่ดิน!BB80"")"),0)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IFERROR(__xludf.DUMMYFUNCTION("IMPORTRANGE(""https://docs.google.com/spreadsheets/d/1QqKyyYR6Q21VydFLVH3TRQUabQu_ym0Zz7PgGX0-kHA/edit?usp=sharing"",""แผน!ID80"")"),1)</f>
        <v>1</v>
      </c>
      <c r="J700" s="270">
        <f ca="1">IFERROR(__xludf.DUMMYFUNCTION("IMPORTRANGE(""https://docs.google.com/spreadsheets/d/1XWAQStnk-4SwqDmLtmXYiTMKHgktTP8We1SCoS47DrQ/edit?usp=sharing"",""จัดที่ดิน!BD80"")"),0)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IFERROR(__xludf.DUMMYFUNCTION("IMPORTRANGE(""https://docs.google.com/spreadsheets/d/1QqKyyYR6Q21VydFLVH3TRQUabQu_ym0Zz7PgGX0-kHA/edit?usp=sharing"",""แผน!IE80"")"),0)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IFERROR(__xludf.DUMMYFUNCTION("IMPORTRANGE(""https://docs.google.com/spreadsheets/d/1QqKyyYR6Q21VydFLVH3TRQUabQu_ym0Zz7PgGX0-kHA/edit?usp=sharing"",""แผน!IF80"")"),0)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IFERROR(__xludf.DUMMYFUNCTION("IMPORTRANGE(""https://docs.google.com/spreadsheets/d/1QqKyyYR6Q21VydFLVH3TRQUabQu_ym0Zz7PgGX0-kHA/edit?usp=sharing"",""แผน!IG80"")"),0)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IFERROR(__xludf.DUMMYFUNCTION("IMPORTRANGE(""https://docs.google.com/spreadsheets/d/1QqKyyYR6Q21VydFLVH3TRQUabQu_ym0Zz7PgGX0-kHA/edit?usp=sharing"",""แผน!IH80"")"),0)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IFERROR(__xludf.DUMMYFUNCTION("IMPORTRANGE(""https://docs.google.com/spreadsheets/d/1XWAQStnk-4SwqDmLtmXYiTMKHgktTP8We1SCoS47DrQ/edit?usp=sharing"",""จัดที่ดิน!BF80"")"),0)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IFERROR(__xludf.DUMMYFUNCTION("IMPORTRANGE(""https://docs.google.com/spreadsheets/d/1XWAQStnk-4SwqDmLtmXYiTMKHgktTP8We1SCoS47DrQ/edit?usp=sharing"",""จัดที่ดิน!BG80"")"),0)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IFERROR(__xludf.DUMMYFUNCTION("IMPORTRANGE(""https://docs.google.com/spreadsheets/d/1QqKyyYR6Q21VydFLVH3TRQUabQu_ym0Zz7PgGX0-kHA/edit?usp=sharing"",""แผน!II80"")"),0)</f>
        <v>0</v>
      </c>
      <c r="J720" s="270">
        <f ca="1">IFERROR(__xludf.DUMMYFUNCTION("IMPORTRANGE(""https://docs.google.com/spreadsheets/d/1XWAQStnk-4SwqDmLtmXYiTMKHgktTP8We1SCoS47DrQ/edit?usp=sharing"",""จัดที่ดิน!BH80"")"),0)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IFERROR(__xludf.DUMMYFUNCTION("IMPORTRANGE(""https://docs.google.com/spreadsheets/d/1QqKyyYR6Q21VydFLVH3TRQUabQu_ym0Zz7PgGX0-kHA/edit?usp=sharing"",""แผน!IJ80"")"),87)</f>
        <v>87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IFERROR(__xludf.DUMMYFUNCTION("IMPORTRANGE(""https://docs.google.com/spreadsheets/d/1QqKyyYR6Q21VydFLVH3TRQUabQu_ym0Zz7PgGX0-kHA/edit?usp=sharing"",""แผน!IK80"")"),332)</f>
        <v>332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IFERROR(__xludf.DUMMYFUNCTION("IMPORTRANGE(""https://docs.google.com/spreadsheets/d/1QqKyyYR6Q21VydFLVH3TRQUabQu_ym0Zz7PgGX0-kHA/edit?usp=sharing"",""แผน!IL80"")"),50)</f>
        <v>50</v>
      </c>
      <c r="J723" s="270">
        <f ca="1">IFERROR(__xludf.DUMMYFUNCTION("IMPORTRANGE(""https://docs.google.com/spreadsheets/d/1XWAQStnk-4SwqDmLtmXYiTMKHgktTP8We1SCoS47DrQ/edit?usp=sharing"",""จัดที่ดิน!BM80"")"),0)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IFERROR(__xludf.DUMMYFUNCTION("IMPORTRANGE(""https://docs.google.com/spreadsheets/d/1XWAQStnk-4SwqDmLtmXYiTMKHgktTP8We1SCoS47DrQ/edit?usp=sharing"",""จัดที่ดิน!BN80"")"),0)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IFERROR(__xludf.DUMMYFUNCTION("IMPORTRANGE(""https://docs.google.com/spreadsheets/d/1QqKyyYR6Q21VydFLVH3TRQUabQu_ym0Zz7PgGX0-kHA/edit?usp=sharing"",""แผน!IM80"")"),212)</f>
        <v>212</v>
      </c>
      <c r="J725" s="270">
        <f ca="1">IFERROR(__xludf.DUMMYFUNCTION("IMPORTRANGE(""https://docs.google.com/spreadsheets/d/1XWAQStnk-4SwqDmLtmXYiTMKHgktTP8We1SCoS47DrQ/edit?usp=sharing"",""จัดที่ดิน!BO80"")"),0)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IFERROR(__xludf.DUMMYFUNCTION("IMPORTRANGE(""https://docs.google.com/spreadsheets/d/1QqKyyYR6Q21VydFLVH3TRQUabQu_ym0Zz7PgGX0-kHA/edit?usp=sharing"",""แผน!IN80"")"),37)</f>
        <v>37</v>
      </c>
      <c r="J726" s="270">
        <f ca="1">IFERROR(__xludf.DUMMYFUNCTION("IMPORTRANGE(""https://docs.google.com/spreadsheets/d/1XWAQStnk-4SwqDmLtmXYiTMKHgktTP8We1SCoS47DrQ/edit?usp=sharing"",""จัดที่ดิน!BR80"")"),0)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IFERROR(__xludf.DUMMYFUNCTION("IMPORTRANGE(""https://docs.google.com/spreadsheets/d/1XWAQStnk-4SwqDmLtmXYiTMKHgktTP8We1SCoS47DrQ/edit?usp=sharing"",""จัดที่ดิน!BS80"")"),0)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IFERROR(__xludf.DUMMYFUNCTION("IMPORTRANGE(""https://docs.google.com/spreadsheets/d/1QqKyyYR6Q21VydFLVH3TRQUabQu_ym0Zz7PgGX0-kHA/edit?usp=sharing"",""แผน!IO80"")"),120)</f>
        <v>120</v>
      </c>
      <c r="J728" s="270">
        <f ca="1">IFERROR(__xludf.DUMMYFUNCTION("IMPORTRANGE(""https://docs.google.com/spreadsheets/d/1XWAQStnk-4SwqDmLtmXYiTMKHgktTP8We1SCoS47DrQ/edit?usp=sharing"",""จัดที่ดิน!BT80"")"),0)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IFERROR(__xludf.DUMMYFUNCTION("IMPORTRANGE(""https://docs.google.com/spreadsheets/d/1QqKyyYR6Q21VydFLVH3TRQUabQu_ym0Zz7PgGX0-kHA/edit?usp=sharing"",""แผน!IP80"")"),0)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IFERROR(__xludf.DUMMYFUNCTION("IMPORTRANGE(""https://docs.google.com/spreadsheets/d/1QqKyyYR6Q21VydFLVH3TRQUabQu_ym0Zz7PgGX0-kHA/edit?usp=sharing"",""แผน!JN80"")"),0)</f>
        <v>0</v>
      </c>
      <c r="J800" s="184">
        <f ca="1">IFERROR(__xludf.DUMMYFUNCTION("IMPORTRANGE(""https://docs.google.com/spreadsheets/d/1MaWodYyGHDf7siQLGxnXhG4mBNTNIuy296niS2xXulU/edit?usp=sharing"",""RTK!H80"")"),0)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IFERROR(__xludf.DUMMYFUNCTION("IMPORTRANGE(""https://docs.google.com/spreadsheets/d/1MaWodYyGHDf7siQLGxnXhG4mBNTNIuy296niS2xXulU/edit?usp=sharing"",""RTK!I80"")"),0)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341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IFERROR(__xludf.DUMMYFUNCTION("IMPORTRANGE(""https://docs.google.com/spreadsheets/d/19vJNZY_5yjcGF2XGBMNZRCAIB0Kwfpjp8YEOfu-bneM/edit?usp=sharing"",""งานกองทุน!D80"")"),473241.86)</f>
        <v>473241.86</v>
      </c>
      <c r="J821" s="270">
        <f ca="1">IFERROR(__xludf.DUMMYFUNCTION("IMPORTRANGE(""https://docs.google.com/spreadsheets/d/19vJNZY_5yjcGF2XGBMNZRCAIB0Kwfpjp8YEOfu-bneM/edit?usp=sharing"",""งานกองทุน!F80"")"),564233.65)</f>
        <v>564233.65</v>
      </c>
      <c r="K821" s="498">
        <f t="shared" ref="K821:K828" ca="1" si="335">IF(I821&gt;0,J821*100/I821,0)</f>
        <v>119.22733335550663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IFERROR(__xludf.DUMMYFUNCTION("IMPORTRANGE(""https://docs.google.com/spreadsheets/d/19vJNZY_5yjcGF2XGBMNZRCAIB0Kwfpjp8YEOfu-bneM/edit?usp=sharing"",""งานกองทุน!C80"")"),31)</f>
        <v>31</v>
      </c>
      <c r="J822" s="270">
        <f ca="1">IFERROR(__xludf.DUMMYFUNCTION("IMPORTRANGE(""https://docs.google.com/spreadsheets/d/19vJNZY_5yjcGF2XGBMNZRCAIB0Kwfpjp8YEOfu-bneM/edit?usp=sharing"",""งานกองทุน!E80"")"),29)</f>
        <v>29</v>
      </c>
      <c r="K822" s="498">
        <f t="shared" ca="1" si="335"/>
        <v>93.548387096774192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IFERROR(__xludf.DUMMYFUNCTION("IMPORTRANGE(""https://docs.google.com/spreadsheets/d/19vJNZY_5yjcGF2XGBMNZRCAIB0Kwfpjp8YEOfu-bneM/edit?usp=sharing"",""งานกองทุน!I80"")"),1882523.56)</f>
        <v>1882523.56</v>
      </c>
      <c r="J823" s="270">
        <f ca="1">IFERROR(__xludf.DUMMYFUNCTION("IMPORTRANGE(""https://docs.google.com/spreadsheets/d/19vJNZY_5yjcGF2XGBMNZRCAIB0Kwfpjp8YEOfu-bneM/edit?usp=sharing"",""งานกองทุน!K80"")"),129580.69)</f>
        <v>129580.69</v>
      </c>
      <c r="K823" s="498">
        <f t="shared" ca="1" si="335"/>
        <v>6.883350240779988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IFERROR(__xludf.DUMMYFUNCTION("IMPORTRANGE(""https://docs.google.com/spreadsheets/d/19vJNZY_5yjcGF2XGBMNZRCAIB0Kwfpjp8YEOfu-bneM/edit?usp=sharing"",""งานกองทุน!H80"")"),131)</f>
        <v>131</v>
      </c>
      <c r="J824" s="270">
        <f ca="1">IFERROR(__xludf.DUMMYFUNCTION("IMPORTRANGE(""https://docs.google.com/spreadsheets/d/19vJNZY_5yjcGF2XGBMNZRCAIB0Kwfpjp8YEOfu-bneM/edit?usp=sharing"",""งานกองทุน!J80"")"),106)</f>
        <v>106</v>
      </c>
      <c r="K824" s="498">
        <f t="shared" ca="1" si="335"/>
        <v>80.916030534351151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IFERROR(__xludf.DUMMYFUNCTION("IMPORTRANGE(""https://docs.google.com/spreadsheets/d/19vJNZY_5yjcGF2XGBMNZRCAIB0Kwfpjp8YEOfu-bneM/edit?usp=sharing"",""งานกองทุน!N80"")"),26632.55)</f>
        <v>26632.55</v>
      </c>
      <c r="J825" s="270">
        <f ca="1">IFERROR(__xludf.DUMMYFUNCTION("IMPORTRANGE(""https://docs.google.com/spreadsheets/d/19vJNZY_5yjcGF2XGBMNZRCAIB0Kwfpjp8YEOfu-bneM/edit?usp=sharing"",""งานกองทุน!P80"")"),46016.77)</f>
        <v>46016.77</v>
      </c>
      <c r="K825" s="498">
        <f t="shared" ca="1" si="335"/>
        <v>172.78394295702066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IFERROR(__xludf.DUMMYFUNCTION("IMPORTRANGE(""https://docs.google.com/spreadsheets/d/19vJNZY_5yjcGF2XGBMNZRCAIB0Kwfpjp8YEOfu-bneM/edit?usp=sharing"",""งานกองทุน!M80"")"),83)</f>
        <v>83</v>
      </c>
      <c r="J826" s="270">
        <f ca="1">IFERROR(__xludf.DUMMYFUNCTION("IMPORTRANGE(""https://docs.google.com/spreadsheets/d/19vJNZY_5yjcGF2XGBMNZRCAIB0Kwfpjp8YEOfu-bneM/edit?usp=sharing"",""งานกองทุน!O80"")"),16)</f>
        <v>16</v>
      </c>
      <c r="K826" s="498">
        <f t="shared" ca="1" si="335"/>
        <v>19.277108433734941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IFERROR(__xludf.DUMMYFUNCTION("IMPORTRANGE(""https://docs.google.com/spreadsheets/d/19vJNZY_5yjcGF2XGBMNZRCAIB0Kwfpjp8YEOfu-bneM/edit?usp=sharing"",""งานกองทุน!S80"")"),300000)</f>
        <v>300000</v>
      </c>
      <c r="J827" s="270">
        <f ca="1">IFERROR(__xludf.DUMMYFUNCTION("IMPORTRANGE(""https://docs.google.com/spreadsheets/d/19vJNZY_5yjcGF2XGBMNZRCAIB0Kwfpjp8YEOfu-bneM/edit?usp=sharing"",""งานกองทุน!U80"")"),400000)</f>
        <v>400000</v>
      </c>
      <c r="K827" s="498">
        <f t="shared" ca="1" si="335"/>
        <v>133.33333333333334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IFERROR(__xludf.DUMMYFUNCTION("IMPORTRANGE(""https://docs.google.com/spreadsheets/d/19vJNZY_5yjcGF2XGBMNZRCAIB0Kwfpjp8YEOfu-bneM/edit?usp=sharing"",""งานกองทุน!R80"")"),7)</f>
        <v>7</v>
      </c>
      <c r="J828" s="505">
        <f ca="1">IFERROR(__xludf.DUMMYFUNCTION("IMPORTRANGE(""https://docs.google.com/spreadsheets/d/19vJNZY_5yjcGF2XGBMNZRCAIB0Kwfpjp8YEOfu-bneM/edit?usp=sharing"",""งานกองทุน!T80"")"),8)</f>
        <v>8</v>
      </c>
      <c r="K828" s="506">
        <f t="shared" ca="1" si="335"/>
        <v>114.28571428571429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705DF-835C-4059-BA66-29CD8EE0DA7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343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7772113</v>
      </c>
      <c r="M8" s="22">
        <f t="shared" ca="1" si="0"/>
        <v>6590945.5</v>
      </c>
      <c r="N8" s="22">
        <f t="shared" ca="1" si="0"/>
        <v>5735063.5700000003</v>
      </c>
      <c r="O8" s="22">
        <f t="shared" ref="O8:O16" ca="1" si="1">IF(L8&gt;0,N8*100/L8,0)</f>
        <v>73.790275179992875</v>
      </c>
      <c r="P8" s="22">
        <f t="shared" ref="P8:P16" ca="1" si="2">IF(M8&gt;0,N8*100/M8,0)</f>
        <v>87.014276934925348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7772113</v>
      </c>
      <c r="M10" s="30">
        <f t="shared" ca="1" si="3"/>
        <v>6590945.5</v>
      </c>
      <c r="N10" s="30">
        <f t="shared" ca="1" si="3"/>
        <v>5735063.5700000003</v>
      </c>
      <c r="O10" s="30">
        <f t="shared" ca="1" si="1"/>
        <v>73.790275179992875</v>
      </c>
      <c r="P10" s="30">
        <f t="shared" ca="1" si="2"/>
        <v>87.014276934925348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3026113</v>
      </c>
      <c r="M11" s="498">
        <f t="shared" ca="1" si="4"/>
        <v>3173395.5</v>
      </c>
      <c r="N11" s="498">
        <f t="shared" ca="1" si="4"/>
        <v>2317513.5700000003</v>
      </c>
      <c r="O11" s="498">
        <f t="shared" ca="1" si="1"/>
        <v>76.583841052862212</v>
      </c>
      <c r="P11" s="498">
        <f t="shared" ca="1" si="2"/>
        <v>73.02945913927212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3026113</v>
      </c>
      <c r="M13" s="93">
        <f t="shared" ca="1" si="5"/>
        <v>3173395.5</v>
      </c>
      <c r="N13" s="93">
        <f t="shared" ca="1" si="5"/>
        <v>2317513.5700000003</v>
      </c>
      <c r="O13" s="93">
        <f t="shared" ca="1" si="1"/>
        <v>76.583841052862212</v>
      </c>
      <c r="P13" s="93">
        <f t="shared" ca="1" si="2"/>
        <v>73.02945913927212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4746000</v>
      </c>
      <c r="M14" s="498">
        <f t="shared" ca="1" si="6"/>
        <v>3417550</v>
      </c>
      <c r="N14" s="498">
        <f t="shared" ca="1" si="6"/>
        <v>3417550</v>
      </c>
      <c r="O14" s="498">
        <f t="shared" ca="1" si="1"/>
        <v>72.009060261272651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4746000</v>
      </c>
      <c r="M16" s="52">
        <f t="shared" ca="1" si="7"/>
        <v>3417550</v>
      </c>
      <c r="N16" s="52">
        <f t="shared" ca="1" si="7"/>
        <v>3417550</v>
      </c>
      <c r="O16" s="52">
        <f t="shared" ca="1" si="1"/>
        <v>72.009060261272651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7037367</v>
      </c>
      <c r="M18" s="22">
        <f t="shared" ca="1" si="8"/>
        <v>5856199.5</v>
      </c>
      <c r="N18" s="22">
        <f t="shared" ca="1" si="8"/>
        <v>5184452.57</v>
      </c>
      <c r="O18" s="22">
        <f t="shared" ref="O18:O26" ca="1" si="9">IF(L18&gt;0,N18*100/L18,0)</f>
        <v>73.670345315229397</v>
      </c>
      <c r="P18" s="22">
        <f t="shared" ref="P18:P26" ca="1" si="10">IF(M18&gt;0,N18*100/M18,0)</f>
        <v>88.52930249387849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7037367</v>
      </c>
      <c r="M20" s="30">
        <f t="shared" ca="1" si="11"/>
        <v>5856199.5</v>
      </c>
      <c r="N20" s="30">
        <f t="shared" ca="1" si="11"/>
        <v>5184452.57</v>
      </c>
      <c r="O20" s="30">
        <f t="shared" ca="1" si="9"/>
        <v>73.670345315229397</v>
      </c>
      <c r="P20" s="30">
        <f t="shared" ca="1" si="10"/>
        <v>88.52930249387849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2291367</v>
      </c>
      <c r="M21" s="498">
        <f t="shared" ca="1" si="12"/>
        <v>2438649.5</v>
      </c>
      <c r="N21" s="498">
        <f t="shared" ca="1" si="12"/>
        <v>1766902.57</v>
      </c>
      <c r="O21" s="498">
        <f t="shared" ca="1" si="9"/>
        <v>77.111286406760684</v>
      </c>
      <c r="P21" s="498">
        <f t="shared" ca="1" si="10"/>
        <v>72.45414193388595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2291367</v>
      </c>
      <c r="M23" s="93">
        <f t="shared" ca="1" si="13"/>
        <v>2438649.5</v>
      </c>
      <c r="N23" s="93">
        <f t="shared" ca="1" si="13"/>
        <v>1766902.57</v>
      </c>
      <c r="O23" s="93">
        <f t="shared" ca="1" si="9"/>
        <v>77.111286406760684</v>
      </c>
      <c r="P23" s="93">
        <f t="shared" ca="1" si="10"/>
        <v>72.45414193388595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4746000</v>
      </c>
      <c r="M24" s="498">
        <f t="shared" ca="1" si="14"/>
        <v>3417550</v>
      </c>
      <c r="N24" s="498">
        <f t="shared" ca="1" si="14"/>
        <v>3417550</v>
      </c>
      <c r="O24" s="498">
        <f t="shared" ca="1" si="9"/>
        <v>72.009060261272651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4746000</v>
      </c>
      <c r="M26" s="52">
        <f t="shared" ca="1" si="15"/>
        <v>3417550</v>
      </c>
      <c r="N26" s="52">
        <f t="shared" ca="1" si="15"/>
        <v>3417550</v>
      </c>
      <c r="O26" s="52">
        <f t="shared" ca="1" si="9"/>
        <v>72.009060261272651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734746</v>
      </c>
      <c r="M28" s="22">
        <f t="shared" ca="1" si="16"/>
        <v>734746</v>
      </c>
      <c r="N28" s="22">
        <f t="shared" si="16"/>
        <v>550611</v>
      </c>
      <c r="O28" s="22">
        <f t="shared" ref="O28:O37" ca="1" si="17">IF(L28&gt;0,N28*100/L28,0)</f>
        <v>74.938958497222174</v>
      </c>
      <c r="P28" s="22">
        <f t="shared" ref="P28:P37" ca="1" si="18">IF(M28&gt;0,N28*100/M28,0)</f>
        <v>74.938958497222174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734746</v>
      </c>
      <c r="M30" s="30">
        <f t="shared" ca="1" si="19"/>
        <v>734746</v>
      </c>
      <c r="N30" s="30">
        <f t="shared" si="19"/>
        <v>550611</v>
      </c>
      <c r="O30" s="30">
        <f t="shared" ca="1" si="17"/>
        <v>74.938958497222174</v>
      </c>
      <c r="P30" s="30">
        <f t="shared" ca="1" si="18"/>
        <v>74.938958497222174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734746</v>
      </c>
      <c r="M31" s="498">
        <f t="shared" ca="1" si="20"/>
        <v>734746</v>
      </c>
      <c r="N31" s="498">
        <f t="shared" si="20"/>
        <v>550611</v>
      </c>
      <c r="O31" s="498">
        <f t="shared" ca="1" si="17"/>
        <v>74.938958497222174</v>
      </c>
      <c r="P31" s="498">
        <f t="shared" ca="1" si="18"/>
        <v>74.938958497222174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734746</v>
      </c>
      <c r="M33" s="93">
        <f t="shared" ca="1" si="21"/>
        <v>734746</v>
      </c>
      <c r="N33" s="93">
        <f t="shared" si="21"/>
        <v>550611</v>
      </c>
      <c r="O33" s="93">
        <f t="shared" ca="1" si="17"/>
        <v>74.938958497222174</v>
      </c>
      <c r="P33" s="93">
        <f t="shared" ca="1" si="18"/>
        <v>74.938958497222174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7037367</v>
      </c>
      <c r="M37" s="858">
        <f t="shared" ca="1" si="24"/>
        <v>5856199.5</v>
      </c>
      <c r="N37" s="858">
        <f t="shared" ca="1" si="24"/>
        <v>5184452.57</v>
      </c>
      <c r="O37" s="858">
        <f t="shared" ca="1" si="17"/>
        <v>73.670345315229397</v>
      </c>
      <c r="P37" s="858">
        <f t="shared" ca="1" si="18"/>
        <v>88.52930249387849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193842</v>
      </c>
      <c r="M41" s="85">
        <f t="shared" ca="1" si="25"/>
        <v>253194.5</v>
      </c>
      <c r="N41" s="85">
        <f t="shared" ca="1" si="25"/>
        <v>187814.5</v>
      </c>
      <c r="O41" s="85">
        <f t="shared" ref="O41:O49" ca="1" si="26">IF(L41&gt;0,N41*100/L41,0)</f>
        <v>96.890508764870361</v>
      </c>
      <c r="P41" s="85">
        <f t="shared" ref="P41:P49" ca="1" si="27">IF(M41&gt;0,N41*100/M41,0)</f>
        <v>74.177954102478523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193842</v>
      </c>
      <c r="M43" s="92">
        <f t="shared" ca="1" si="28"/>
        <v>253194.5</v>
      </c>
      <c r="N43" s="92">
        <f t="shared" ca="1" si="28"/>
        <v>187814.5</v>
      </c>
      <c r="O43" s="92">
        <f t="shared" ca="1" si="26"/>
        <v>96.890508764870361</v>
      </c>
      <c r="P43" s="92">
        <f t="shared" ca="1" si="27"/>
        <v>74.177954102478523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193842</v>
      </c>
      <c r="M44" s="498">
        <f t="shared" ca="1" si="29"/>
        <v>253194.5</v>
      </c>
      <c r="N44" s="498">
        <f t="shared" ca="1" si="29"/>
        <v>187814.5</v>
      </c>
      <c r="O44" s="498">
        <f t="shared" ca="1" si="26"/>
        <v>96.890508764870361</v>
      </c>
      <c r="P44" s="498">
        <f t="shared" ca="1" si="27"/>
        <v>74.177954102478523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IFERROR(__xludf.DUMMYFUNCTION("IMPORTRANGE(""https://docs.google.com/spreadsheets/d/1MeEWN-I1oV_STSDYn1IFDPWt_1FKiwhDph83XaGc0o0/edit?usp=sharing"",""งบพรบ!M81"")"),193842)</f>
        <v>193842</v>
      </c>
      <c r="M46" s="93">
        <f ca="1">IFERROR(__xludf.DUMMYFUNCTION("IMPORTRANGE(""https://docs.google.com/spreadsheets/d/1MeEWN-I1oV_STSDYn1IFDPWt_1FKiwhDph83XaGc0o0/edit?usp=sharing"",""งบพรบ!R81"")"),253194.5)</f>
        <v>253194.5</v>
      </c>
      <c r="N46" s="93">
        <f ca="1">IFERROR(__xludf.DUMMYFUNCTION("IMPORTRANGE(""https://docs.google.com/spreadsheets/d/1MeEWN-I1oV_STSDYn1IFDPWt_1FKiwhDph83XaGc0o0/edit?usp=sharing"",""งบพรบ!T81"")"),187814.5)</f>
        <v>187814.5</v>
      </c>
      <c r="O46" s="93">
        <f t="shared" ca="1" si="26"/>
        <v>96.890508764870361</v>
      </c>
      <c r="P46" s="93">
        <f t="shared" ca="1" si="27"/>
        <v>74.177954102478523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IFERROR(__xludf.DUMMYFUNCTION("IMPORTRANGE(""https://docs.google.com/spreadsheets/d/1MeEWN-I1oV_STSDYn1IFDPWt_1FKiwhDph83XaGc0o0/edit?usp=sharing"",""งบพรบ!P81"")"),0)</f>
        <v>0</v>
      </c>
      <c r="M49" s="52">
        <f ca="1">IFERROR(__xludf.DUMMYFUNCTION("IMPORTRANGE(""https://docs.google.com/spreadsheets/d/1MeEWN-I1oV_STSDYn1IFDPWt_1FKiwhDph83XaGc0o0/edit?usp=sharing"",""งบพรบ!S81"")"),0)</f>
        <v>0</v>
      </c>
      <c r="N49" s="52">
        <f ca="1">IFERROR(__xludf.DUMMYFUNCTION("IMPORTRANGE(""https://docs.google.com/spreadsheets/d/1MeEWN-I1oV_STSDYn1IFDPWt_1FKiwhDph83XaGc0o0/edit?usp=sharing"",""งบพรบ!U81"")"),0)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5589500</v>
      </c>
      <c r="M53" s="116">
        <f t="shared" ca="1" si="31"/>
        <v>4261250</v>
      </c>
      <c r="N53" s="116">
        <f t="shared" ca="1" si="31"/>
        <v>4169224.01</v>
      </c>
      <c r="O53" s="116">
        <f t="shared" ref="O53:O61" ca="1" si="32">IF(L53&gt;0,N53*100/L53,0)</f>
        <v>74.59028553537884</v>
      </c>
      <c r="P53" s="116">
        <f t="shared" ref="P53:P61" ca="1" si="33">IF(M53&gt;0,N53*100/M53,0)</f>
        <v>97.840399178644759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5589500</v>
      </c>
      <c r="M55" s="123">
        <f t="shared" ca="1" si="34"/>
        <v>4261250</v>
      </c>
      <c r="N55" s="123">
        <f t="shared" ca="1" si="34"/>
        <v>4169224.01</v>
      </c>
      <c r="O55" s="123">
        <f t="shared" ca="1" si="32"/>
        <v>74.59028553537884</v>
      </c>
      <c r="P55" s="123">
        <f t="shared" ca="1" si="33"/>
        <v>97.840399178644759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919500</v>
      </c>
      <c r="M56" s="498">
        <f t="shared" ca="1" si="35"/>
        <v>919500</v>
      </c>
      <c r="N56" s="498">
        <f t="shared" ca="1" si="35"/>
        <v>827474.01</v>
      </c>
      <c r="O56" s="498">
        <f t="shared" ca="1" si="32"/>
        <v>89.991735725938014</v>
      </c>
      <c r="P56" s="498">
        <f t="shared" ca="1" si="33"/>
        <v>89.991735725938014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IFERROR(__xludf.DUMMYFUNCTION("IMPORTRANGE(""https://docs.google.com/spreadsheets/d/1MeEWN-I1oV_STSDYn1IFDPWt_1FKiwhDph83XaGc0o0/edit?usp=sharing"",""งบพรบ!W81"")"),919500)</f>
        <v>919500</v>
      </c>
      <c r="M58" s="93">
        <f ca="1">IFERROR(__xludf.DUMMYFUNCTION("IMPORTRANGE(""https://docs.google.com/spreadsheets/d/1MeEWN-I1oV_STSDYn1IFDPWt_1FKiwhDph83XaGc0o0/edit?usp=sharing"",""งบพรบ!AB81"")"),919500)</f>
        <v>919500</v>
      </c>
      <c r="N58" s="93">
        <f ca="1">IFERROR(__xludf.DUMMYFUNCTION("IMPORTRANGE(""https://docs.google.com/spreadsheets/d/1MeEWN-I1oV_STSDYn1IFDPWt_1FKiwhDph83XaGc0o0/edit?usp=sharing"",""งบพรบ!AD81"")"),827474.01)</f>
        <v>827474.01</v>
      </c>
      <c r="O58" s="93">
        <f t="shared" ca="1" si="32"/>
        <v>89.991735725938014</v>
      </c>
      <c r="P58" s="93">
        <f t="shared" ca="1" si="33"/>
        <v>89.991735725938014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4670000</v>
      </c>
      <c r="M59" s="498">
        <f t="shared" ca="1" si="36"/>
        <v>3341750</v>
      </c>
      <c r="N59" s="498">
        <f t="shared" ca="1" si="36"/>
        <v>3341750</v>
      </c>
      <c r="O59" s="498">
        <f t="shared" ca="1" si="32"/>
        <v>71.557815845824408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IFERROR(__xludf.DUMMYFUNCTION("IMPORTRANGE(""https://docs.google.com/spreadsheets/d/1MeEWN-I1oV_STSDYn1IFDPWt_1FKiwhDph83XaGc0o0/edit?usp=sharing"",""งบพรบ!Z81"")"),4670000)</f>
        <v>4670000</v>
      </c>
      <c r="M61" s="52">
        <f ca="1">IFERROR(__xludf.DUMMYFUNCTION("IMPORTRANGE(""https://docs.google.com/spreadsheets/d/1MeEWN-I1oV_STSDYn1IFDPWt_1FKiwhDph83XaGc0o0/edit?usp=sharing"",""งบพรบ!AC81"")"),3341750)</f>
        <v>3341750</v>
      </c>
      <c r="N61" s="52">
        <f ca="1">IFERROR(__xludf.DUMMYFUNCTION("IMPORTRANGE(""https://docs.google.com/spreadsheets/d/1MeEWN-I1oV_STSDYn1IFDPWt_1FKiwhDph83XaGc0o0/edit?usp=sharing"",""งบพรบ!AE81"")"),3341750)</f>
        <v>3341750</v>
      </c>
      <c r="O61" s="52">
        <f t="shared" ca="1" si="32"/>
        <v>71.557815845824408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IFERROR(__xludf.DUMMYFUNCTION("IMPORTRANGE(""https://docs.google.com/spreadsheets/d/1MeEWN-I1oV_STSDYn1IFDPWt_1FKiwhDph83XaGc0o0/edit?usp=sharing"",""งบพรบ!AG81"")"),0)</f>
        <v>0</v>
      </c>
      <c r="M71" s="93">
        <f ca="1">IFERROR(__xludf.DUMMYFUNCTION("IMPORTRANGE(""https://docs.google.com/spreadsheets/d/1MeEWN-I1oV_STSDYn1IFDPWt_1FKiwhDph83XaGc0o0/edit?usp=sharing"",""งบพรบ!AL81"")"),0)</f>
        <v>0</v>
      </c>
      <c r="N71" s="93">
        <f ca="1">IFERROR(__xludf.DUMMYFUNCTION("IMPORTRANGE(""https://docs.google.com/spreadsheets/d/1MeEWN-I1oV_STSDYn1IFDPWt_1FKiwhDph83XaGc0o0/edit?usp=sharing"",""งบพรบ!AN81"")"),0)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IFERROR(__xludf.DUMMYFUNCTION("IMPORTRANGE(""https://docs.google.com/spreadsheets/d/1MeEWN-I1oV_STSDYn1IFDPWt_1FKiwhDph83XaGc0o0/edit?usp=sharing"",""งบพรบ!AJ81"")"),0)</f>
        <v>0</v>
      </c>
      <c r="M74" s="93">
        <f ca="1">IFERROR(__xludf.DUMMYFUNCTION("IMPORTRANGE(""https://docs.google.com/spreadsheets/d/1MeEWN-I1oV_STSDYn1IFDPWt_1FKiwhDph83XaGc0o0/edit?usp=sharing"",""งบพรบ!AM81"")"),0)</f>
        <v>0</v>
      </c>
      <c r="N74" s="93">
        <f ca="1">IFERROR(__xludf.DUMMYFUNCTION("IMPORTRANGE(""https://docs.google.com/spreadsheets/d/1MeEWN-I1oV_STSDYn1IFDPWt_1FKiwhDph83XaGc0o0/edit?usp=sharing"",""งบพรบ!AO81"")"),0)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333500</v>
      </c>
      <c r="M88" s="155">
        <f t="shared" ca="1" si="49"/>
        <v>333500</v>
      </c>
      <c r="N88" s="155">
        <f t="shared" ca="1" si="49"/>
        <v>214442.78</v>
      </c>
      <c r="O88" s="155">
        <f t="shared" ref="O88:O96" ca="1" si="50">IF(L88&gt;0,N88*100/L88,0)</f>
        <v>64.300683658170911</v>
      </c>
      <c r="P88" s="155">
        <f t="shared" ref="P88:P96" ca="1" si="51">IF(M88&gt;0,N88*100/M88,0)</f>
        <v>64.300683658170911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333500</v>
      </c>
      <c r="M90" s="93">
        <f t="shared" ca="1" si="52"/>
        <v>333500</v>
      </c>
      <c r="N90" s="93">
        <f t="shared" ca="1" si="52"/>
        <v>214442.78</v>
      </c>
      <c r="O90" s="93">
        <f t="shared" ca="1" si="50"/>
        <v>64.300683658170911</v>
      </c>
      <c r="P90" s="93">
        <f t="shared" ca="1" si="51"/>
        <v>64.300683658170911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333500</v>
      </c>
      <c r="M91" s="498">
        <f t="shared" ca="1" si="53"/>
        <v>333500</v>
      </c>
      <c r="N91" s="498">
        <f t="shared" ca="1" si="53"/>
        <v>214442.78</v>
      </c>
      <c r="O91" s="498">
        <f t="shared" ca="1" si="50"/>
        <v>64.300683658170911</v>
      </c>
      <c r="P91" s="498">
        <f t="shared" ca="1" si="51"/>
        <v>64.300683658170911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IFERROR(__xludf.DUMMYFUNCTION("IMPORTRANGE(""https://docs.google.com/spreadsheets/d/1MeEWN-I1oV_STSDYn1IFDPWt_1FKiwhDph83XaGc0o0/edit?usp=sharing"",""งบพรบ!AQ81"")"),333500)</f>
        <v>333500</v>
      </c>
      <c r="M93" s="93">
        <f ca="1">IFERROR(__xludf.DUMMYFUNCTION("IMPORTRANGE(""https://docs.google.com/spreadsheets/d/1MeEWN-I1oV_STSDYn1IFDPWt_1FKiwhDph83XaGc0o0/edit?usp=sharing"",""งบพรบ!AV81"")"),333500)</f>
        <v>333500</v>
      </c>
      <c r="N93" s="93">
        <f ca="1">IFERROR(__xludf.DUMMYFUNCTION("IMPORTRANGE(""https://docs.google.com/spreadsheets/d/1MeEWN-I1oV_STSDYn1IFDPWt_1FKiwhDph83XaGc0o0/edit?usp=sharing"",""งบพรบ!AX81"")"),214442.78)</f>
        <v>214442.78</v>
      </c>
      <c r="O93" s="93">
        <f t="shared" ca="1" si="50"/>
        <v>64.300683658170911</v>
      </c>
      <c r="P93" s="93">
        <f t="shared" ca="1" si="51"/>
        <v>64.300683658170911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IFERROR(__xludf.DUMMYFUNCTION("IMPORTRANGE(""https://docs.google.com/spreadsheets/d/1MeEWN-I1oV_STSDYn1IFDPWt_1FKiwhDph83XaGc0o0/edit?usp=sharing"",""งบพรบ!AT81"")"),0)</f>
        <v>0</v>
      </c>
      <c r="M96" s="93">
        <f ca="1">IFERROR(__xludf.DUMMYFUNCTION("IMPORTRANGE(""https://docs.google.com/spreadsheets/d/1MeEWN-I1oV_STSDYn1IFDPWt_1FKiwhDph83XaGc0o0/edit?usp=sharing"",""งบพรบ!AW81"")"),0)</f>
        <v>0</v>
      </c>
      <c r="N96" s="93">
        <f ca="1">IFERROR(__xludf.DUMMYFUNCTION("IMPORTRANGE(""https://docs.google.com/spreadsheets/d/1MeEWN-I1oV_STSDYn1IFDPWt_1FKiwhDph83XaGc0o0/edit?usp=sharing"",""งบพรบ!AY81"")"),0)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IFERROR(__xludf.DUMMYFUNCTION("IMPORTRANGE(""https://docs.google.com/spreadsheets/d/1QqKyyYR6Q21VydFLVH3TRQUabQu_ym0Zz7PgGX0-kHA/edit?usp=sharing"",""แผน!K81"")"),0)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IFERROR(__xludf.DUMMYFUNCTION("IMPORTRANGE(""https://docs.google.com/spreadsheets/d/1QqKyyYR6Q21VydFLVH3TRQUabQu_ym0Zz7PgGX0-kHA/edit?usp=sharing"",""แผน!L81"")"),0)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IFERROR(__xludf.DUMMYFUNCTION("IMPORTRANGE(""https://docs.google.com/spreadsheets/d/1QqKyyYR6Q21VydFLVH3TRQUabQu_ym0Zz7PgGX0-kHA/edit?usp=sharing"",""แผน!M81"")"),1)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IFERROR(__xludf.DUMMYFUNCTION("IMPORTRANGE(""https://docs.google.com/spreadsheets/d/1QqKyyYR6Q21VydFLVH3TRQUabQu_ym0Zz7PgGX0-kHA/edit?usp=sharing"",""แผน!N81"")"),0)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IFERROR(__xludf.DUMMYFUNCTION("IMPORTRANGE(""https://docs.google.com/spreadsheets/d/1QqKyyYR6Q21VydFLVH3TRQUabQu_ym0Zz7PgGX0-kHA/edit?usp=sharing"",""แผน!O81"")"),0)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IFERROR(__xludf.DUMMYFUNCTION("IMPORTRANGE(""https://docs.google.com/spreadsheets/d/1QqKyyYR6Q21VydFLVH3TRQUabQu_ym0Zz7PgGX0-kHA/edit?usp=sharing"",""แผน!O81"")"),0)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IFERROR(__xludf.DUMMYFUNCTION("IMPORTRANGE(""https://docs.google.com/spreadsheets/d/1QqKyyYR6Q21VydFLVH3TRQUabQu_ym0Zz7PgGX0-kHA/edit?usp=sharing"",""แผน!P81"")"),1)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IFERROR(__xludf.DUMMYFUNCTION("IMPORTRANGE(""https://docs.google.com/spreadsheets/d/1QqKyyYR6Q21VydFLVH3TRQUabQu_ym0Zz7PgGX0-kHA/edit?usp=sharing"",""แผน!P81"")"),1)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IFERROR(__xludf.DUMMYFUNCTION("IMPORTRANGE(""https://docs.google.com/spreadsheets/d/1QqKyyYR6Q21VydFLVH3TRQUabQu_ym0Zz7PgGX0-kHA/edit?usp=sharing"",""แผน!Q81"")"),0)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IFERROR(__xludf.DUMMYFUNCTION("IMPORTRANGE(""https://docs.google.com/spreadsheets/d/1QqKyyYR6Q21VydFLVH3TRQUabQu_ym0Zz7PgGX0-kHA/edit?usp=sharing"",""แผน!Q81"")"),0)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IFERROR(__xludf.DUMMYFUNCTION("IMPORTRANGE(""https://docs.google.com/spreadsheets/d/1QqKyyYR6Q21VydFLVH3TRQUabQu_ym0Zz7PgGX0-kHA/edit?usp=sharing"",""แผน!R81"")"),0)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IFERROR(__xludf.DUMMYFUNCTION("IMPORTRANGE(""https://docs.google.com/spreadsheets/d/1QqKyyYR6Q21VydFLVH3TRQUabQu_ym0Zz7PgGX0-kHA/edit?usp=sharing"",""แผน!R81"")"),0)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IFERROR(__xludf.DUMMYFUNCTION("IMPORTRANGE(""https://docs.google.com/spreadsheets/d/1QqKyyYR6Q21VydFLVH3TRQUabQu_ym0Zz7PgGX0-kHA/edit?usp=sharing"",""แผน!R81"")"),0)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IFERROR(__xludf.DUMMYFUNCTION("IMPORTRANGE(""https://docs.google.com/spreadsheets/d/1QqKyyYR6Q21VydFLVH3TRQUabQu_ym0Zz7PgGX0-kHA/edit?usp=sharing"",""แผน!S81"")"),1)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IFERROR(__xludf.DUMMYFUNCTION("IMPORTRANGE(""https://docs.google.com/spreadsheets/d/1QqKyyYR6Q21VydFLVH3TRQUabQu_ym0Zz7PgGX0-kHA/edit?usp=sharing"",""แผน!T81"")"),0)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IFERROR(__xludf.DUMMYFUNCTION("IMPORTRANGE(""https://docs.google.com/spreadsheets/d/1MeEWN-I1oV_STSDYn1IFDPWt_1FKiwhDph83XaGc0o0/edit?usp=sharing"",""งบพรบ!BA81"")"),0)</f>
        <v>0</v>
      </c>
      <c r="M124" s="93">
        <f ca="1">IFERROR(__xludf.DUMMYFUNCTION("IMPORTRANGE(""https://docs.google.com/spreadsheets/d/1MeEWN-I1oV_STSDYn1IFDPWt_1FKiwhDph83XaGc0o0/edit?usp=sharing"",""งบพรบ!BF81"")"),0)</f>
        <v>0</v>
      </c>
      <c r="N124" s="93">
        <f ca="1">IFERROR(__xludf.DUMMYFUNCTION("IMPORTRANGE(""https://docs.google.com/spreadsheets/d/1MeEWN-I1oV_STSDYn1IFDPWt_1FKiwhDph83XaGc0o0/edit?usp=sharing"",""งบพรบ!BH81"")"),0)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IFERROR(__xludf.DUMMYFUNCTION("IMPORTRANGE(""https://docs.google.com/spreadsheets/d/1MeEWN-I1oV_STSDYn1IFDPWt_1FKiwhDph83XaGc0o0/edit?usp=sharing"",""งบพรบ!BD81"")"),0)</f>
        <v>0</v>
      </c>
      <c r="M127" s="93">
        <f ca="1">IFERROR(__xludf.DUMMYFUNCTION("IMPORTRANGE(""https://docs.google.com/spreadsheets/d/1MeEWN-I1oV_STSDYn1IFDPWt_1FKiwhDph83XaGc0o0/edit?usp=sharing"",""งบพรบ!BG81"")"),0)</f>
        <v>0</v>
      </c>
      <c r="N127" s="93">
        <f ca="1">IFERROR(__xludf.DUMMYFUNCTION("IMPORTRANGE(""https://docs.google.com/spreadsheets/d/1MeEWN-I1oV_STSDYn1IFDPWt_1FKiwhDph83XaGc0o0/edit?usp=sharing"",""งบพรบ!BI81"")"),0)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IFERROR(__xludf.DUMMYFUNCTION("IMPORTRANGE(""https://docs.google.com/spreadsheets/d/1MeEWN-I1oV_STSDYn1IFDPWt_1FKiwhDph83XaGc0o0/edit?usp=sharing"",""งบพรบ!BK81"")"),0)</f>
        <v>0</v>
      </c>
      <c r="M137" s="93">
        <f ca="1">IFERROR(__xludf.DUMMYFUNCTION("IMPORTRANGE(""https://docs.google.com/spreadsheets/d/1MeEWN-I1oV_STSDYn1IFDPWt_1FKiwhDph83XaGc0o0/edit?usp=sharing"",""งบพรบ!BP81"")"),0)</f>
        <v>0</v>
      </c>
      <c r="N137" s="93">
        <f ca="1">IFERROR(__xludf.DUMMYFUNCTION("IMPORTRANGE(""https://docs.google.com/spreadsheets/d/1MeEWN-I1oV_STSDYn1IFDPWt_1FKiwhDph83XaGc0o0/edit?usp=sharing"",""งบพรบ!BR81"")"),0)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IFERROR(__xludf.DUMMYFUNCTION("IMPORTRANGE(""https://docs.google.com/spreadsheets/d/1MeEWN-I1oV_STSDYn1IFDPWt_1FKiwhDph83XaGc0o0/edit?usp=sharing"",""งบพรบ!BN81"")"),0)</f>
        <v>0</v>
      </c>
      <c r="M140" s="93">
        <f ca="1">IFERROR(__xludf.DUMMYFUNCTION("IMPORTRANGE(""https://docs.google.com/spreadsheets/d/1MeEWN-I1oV_STSDYn1IFDPWt_1FKiwhDph83XaGc0o0/edit?usp=sharing"",""งบพรบ!BQ81"")"),0)</f>
        <v>0</v>
      </c>
      <c r="N140" s="93">
        <f ca="1">IFERROR(__xludf.DUMMYFUNCTION("IMPORTRANGE(""https://docs.google.com/spreadsheets/d/1MeEWN-I1oV_STSDYn1IFDPWt_1FKiwhDph83XaGc0o0/edit?usp=sharing"",""งบพรบ!BS81"")"),0)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IFERROR(__xludf.DUMMYFUNCTION("IMPORTRANGE(""https://docs.google.com/spreadsheets/d/1QqKyyYR6Q21VydFLVH3TRQUabQu_ym0Zz7PgGX0-kHA/edit?usp=sharing"",""แผน!U81"")"),0)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IFERROR(__xludf.DUMMYFUNCTION("IMPORTRANGE(""https://docs.google.com/spreadsheets/d/1QqKyyYR6Q21VydFLVH3TRQUabQu_ym0Zz7PgGX0-kHA/edit?usp=sharing"",""แผน!V81"")"),0)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IFERROR(__xludf.DUMMYFUNCTION("IMPORTRANGE(""https://docs.google.com/spreadsheets/d/1QqKyyYR6Q21VydFLVH3TRQUabQu_ym0Zz7PgGX0-kHA/edit?usp=sharing"",""แผน!W81"")"),0)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IFERROR(__xludf.DUMMYFUNCTION("IMPORTRANGE(""https://docs.google.com/spreadsheets/d/1MeEWN-I1oV_STSDYn1IFDPWt_1FKiwhDph83XaGc0o0/edit?usp=sharing"",""งบพรบ!BU81"")"),0)</f>
        <v>0</v>
      </c>
      <c r="M154" s="93">
        <f ca="1">IFERROR(__xludf.DUMMYFUNCTION("IMPORTRANGE(""https://docs.google.com/spreadsheets/d/1MeEWN-I1oV_STSDYn1IFDPWt_1FKiwhDph83XaGc0o0/edit?usp=sharing"",""งบพรบ!BZ81"")"),0)</f>
        <v>0</v>
      </c>
      <c r="N154" s="93">
        <f ca="1">IFERROR(__xludf.DUMMYFUNCTION("IMPORTRANGE(""https://docs.google.com/spreadsheets/d/1MeEWN-I1oV_STSDYn1IFDPWt_1FKiwhDph83XaGc0o0/edit?usp=sharing"",""งบพรบ!CB81"")"),0)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IFERROR(__xludf.DUMMYFUNCTION("IMPORTRANGE(""https://docs.google.com/spreadsheets/d/1MeEWN-I1oV_STSDYn1IFDPWt_1FKiwhDph83XaGc0o0/edit?usp=sharing"",""งบพรบ!BX81"")"),0)</f>
        <v>0</v>
      </c>
      <c r="M157" s="93">
        <f ca="1">IFERROR(__xludf.DUMMYFUNCTION("IMPORTRANGE(""https://docs.google.com/spreadsheets/d/1MeEWN-I1oV_STSDYn1IFDPWt_1FKiwhDph83XaGc0o0/edit?usp=sharing"",""งบพรบ!CA81"")"),0)</f>
        <v>0</v>
      </c>
      <c r="N157" s="93">
        <f ca="1">IFERROR(__xludf.DUMMYFUNCTION("IMPORTRANGE(""https://docs.google.com/spreadsheets/d/1MeEWN-I1oV_STSDYn1IFDPWt_1FKiwhDph83XaGc0o0/edit?usp=sharing"",""งบพรบ!CC81"")"),0)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IFERROR(__xludf.DUMMYFUNCTION("IMPORTRANGE(""https://docs.google.com/spreadsheets/d/1QqKyyYR6Q21VydFLVH3TRQUabQu_ym0Zz7PgGX0-kHA/edit?usp=sharing"",""แผน!X81"")"),0)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41055</v>
      </c>
      <c r="N165" s="155">
        <f t="shared" ca="1" si="84"/>
        <v>39810</v>
      </c>
      <c r="O165" s="155">
        <f t="shared" ref="O165:O173" ca="1" si="85">IF(L165&gt;0,N165*100/L165,0)</f>
        <v>165.42696862663618</v>
      </c>
      <c r="P165" s="155">
        <f t="shared" ref="P165:P173" ca="1" si="86">IF(M165&gt;0,N165*100/M165,0)</f>
        <v>96.96748264523201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41055</v>
      </c>
      <c r="N167" s="93">
        <f t="shared" ca="1" si="87"/>
        <v>39810</v>
      </c>
      <c r="O167" s="93">
        <f t="shared" ca="1" si="85"/>
        <v>165.42696862663618</v>
      </c>
      <c r="P167" s="93">
        <f t="shared" ca="1" si="86"/>
        <v>96.96748264523201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41055</v>
      </c>
      <c r="N168" s="498">
        <f t="shared" ca="1" si="88"/>
        <v>39810</v>
      </c>
      <c r="O168" s="498">
        <f t="shared" ca="1" si="85"/>
        <v>165.42696862663618</v>
      </c>
      <c r="P168" s="498">
        <f t="shared" ca="1" si="86"/>
        <v>96.96748264523201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IFERROR(__xludf.DUMMYFUNCTION("IMPORTRANGE(""https://docs.google.com/spreadsheets/d/1MeEWN-I1oV_STSDYn1IFDPWt_1FKiwhDph83XaGc0o0/edit?usp=sharing"",""งบพรบ!CE81"")"),24065)</f>
        <v>24065</v>
      </c>
      <c r="M170" s="93">
        <f ca="1">IFERROR(__xludf.DUMMYFUNCTION("IMPORTRANGE(""https://docs.google.com/spreadsheets/d/1MeEWN-I1oV_STSDYn1IFDPWt_1FKiwhDph83XaGc0o0/edit?usp=sharing"",""งบพรบ!CJ81"")"),41055)</f>
        <v>41055</v>
      </c>
      <c r="N170" s="93">
        <f ca="1">IFERROR(__xludf.DUMMYFUNCTION("IMPORTRANGE(""https://docs.google.com/spreadsheets/d/1MeEWN-I1oV_STSDYn1IFDPWt_1FKiwhDph83XaGc0o0/edit?usp=sharing"",""งบพรบ!CL81"")"),39810)</f>
        <v>39810</v>
      </c>
      <c r="O170" s="93">
        <f t="shared" ca="1" si="85"/>
        <v>165.42696862663618</v>
      </c>
      <c r="P170" s="93">
        <f t="shared" ca="1" si="86"/>
        <v>96.96748264523201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IFERROR(__xludf.DUMMYFUNCTION("IMPORTRANGE(""https://docs.google.com/spreadsheets/d/1MeEWN-I1oV_STSDYn1IFDPWt_1FKiwhDph83XaGc0o0/edit?usp=sharing"",""งบพรบ!CH81"")"),0)</f>
        <v>0</v>
      </c>
      <c r="M173" s="93">
        <f ca="1">IFERROR(__xludf.DUMMYFUNCTION("IMPORTRANGE(""https://docs.google.com/spreadsheets/d/1MeEWN-I1oV_STSDYn1IFDPWt_1FKiwhDph83XaGc0o0/edit?usp=sharing"",""งบพรบ!CK81"")"),0)</f>
        <v>0</v>
      </c>
      <c r="N173" s="93">
        <f ca="1">IFERROR(__xludf.DUMMYFUNCTION("IMPORTRANGE(""https://docs.google.com/spreadsheets/d/1MeEWN-I1oV_STSDYn1IFDPWt_1FKiwhDph83XaGc0o0/edit?usp=sharing"",""งบพรบ!CM81"")"),0)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IFERROR(__xludf.DUMMYFUNCTION("IMPORTRANGE(""https://docs.google.com/spreadsheets/d/1QqKyyYR6Q21VydFLVH3TRQUabQu_ym0Zz7PgGX0-kHA/edit?usp=sharing"",""แผน!Y81"")"),13)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45000</v>
      </c>
      <c r="M181" s="155">
        <f t="shared" ca="1" si="92"/>
        <v>63440</v>
      </c>
      <c r="N181" s="155">
        <f t="shared" ca="1" si="92"/>
        <v>39382</v>
      </c>
      <c r="O181" s="155">
        <f t="shared" ref="O181:O189" ca="1" si="93">IF(L181&gt;0,N181*100/L181,0)</f>
        <v>87.515555555555551</v>
      </c>
      <c r="P181" s="155">
        <f t="shared" ref="P181:P189" ca="1" si="94">IF(M181&gt;0,N181*100/M181,0)</f>
        <v>62.077553593947037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45000</v>
      </c>
      <c r="M183" s="93">
        <f t="shared" ca="1" si="95"/>
        <v>63440</v>
      </c>
      <c r="N183" s="93">
        <f t="shared" ca="1" si="95"/>
        <v>39382</v>
      </c>
      <c r="O183" s="93">
        <f t="shared" ca="1" si="93"/>
        <v>87.515555555555551</v>
      </c>
      <c r="P183" s="93">
        <f t="shared" ca="1" si="94"/>
        <v>62.077553593947037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45000</v>
      </c>
      <c r="M184" s="498">
        <f t="shared" ca="1" si="96"/>
        <v>63440</v>
      </c>
      <c r="N184" s="498">
        <f t="shared" ca="1" si="96"/>
        <v>39382</v>
      </c>
      <c r="O184" s="498">
        <f t="shared" ca="1" si="93"/>
        <v>87.515555555555551</v>
      </c>
      <c r="P184" s="498">
        <f t="shared" ca="1" si="94"/>
        <v>62.077553593947037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IFERROR(__xludf.DUMMYFUNCTION("IMPORTRANGE(""https://docs.google.com/spreadsheets/d/1MeEWN-I1oV_STSDYn1IFDPWt_1FKiwhDph83XaGc0o0/edit?usp=sharing"",""งบพรบ!CO81"")"),45000)</f>
        <v>45000</v>
      </c>
      <c r="M186" s="93">
        <f ca="1">IFERROR(__xludf.DUMMYFUNCTION("IMPORTRANGE(""https://docs.google.com/spreadsheets/d/1MeEWN-I1oV_STSDYn1IFDPWt_1FKiwhDph83XaGc0o0/edit?usp=sharing"",""งบพรบ!CT81"")"),63440)</f>
        <v>63440</v>
      </c>
      <c r="N186" s="93">
        <f ca="1">IFERROR(__xludf.DUMMYFUNCTION("IMPORTRANGE(""https://docs.google.com/spreadsheets/d/1MeEWN-I1oV_STSDYn1IFDPWt_1FKiwhDph83XaGc0o0/edit?usp=sharing"",""งบพรบ!CV81"")"),39382)</f>
        <v>39382</v>
      </c>
      <c r="O186" s="93">
        <f t="shared" ca="1" si="93"/>
        <v>87.515555555555551</v>
      </c>
      <c r="P186" s="93">
        <f t="shared" ca="1" si="94"/>
        <v>62.077553593947037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IFERROR(__xludf.DUMMYFUNCTION("IMPORTRANGE(""https://docs.google.com/spreadsheets/d/1MeEWN-I1oV_STSDYn1IFDPWt_1FKiwhDph83XaGc0o0/edit?usp=sharing"",""งบพรบ!CR81"")"),0)</f>
        <v>0</v>
      </c>
      <c r="M189" s="93">
        <f ca="1">IFERROR(__xludf.DUMMYFUNCTION("IMPORTRANGE(""https://docs.google.com/spreadsheets/d/1MeEWN-I1oV_STSDYn1IFDPWt_1FKiwhDph83XaGc0o0/edit?usp=sharing"",""งบพรบ!CU81"")"),0)</f>
        <v>0</v>
      </c>
      <c r="N189" s="93">
        <f ca="1">IFERROR(__xludf.DUMMYFUNCTION("IMPORTRANGE(""https://docs.google.com/spreadsheets/d/1MeEWN-I1oV_STSDYn1IFDPWt_1FKiwhDph83XaGc0o0/edit?usp=sharing"",""งบพรบ!CW81"")"),0)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IFERROR(__xludf.DUMMYFUNCTION("IMPORTRANGE(""https://docs.google.com/spreadsheets/d/1QqKyyYR6Q21VydFLVH3TRQUabQu_ym0Zz7PgGX0-kHA/edit?usp=sharing"",""แผน!Z81"")"),6000)</f>
        <v>6000</v>
      </c>
      <c r="M191" s="155"/>
      <c r="N191" s="276">
        <v>2830</v>
      </c>
      <c r="O191" s="155">
        <f ca="1">IF(L191&gt;0,N191*100/L191,0)</f>
        <v>47.166666666666664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IFERROR(__xludf.DUMMYFUNCTION("IMPORTRANGE(""https://docs.google.com/spreadsheets/d/1QqKyyYR6Q21VydFLVH3TRQUabQu_ym0Zz7PgGX0-kHA/edit?usp=sharing"",""แผน!AC81"")"),4)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40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40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31000</v>
      </c>
      <c r="M198" s="155"/>
      <c r="N198" s="155">
        <f>N199+N200+N201+N202</f>
        <v>18000</v>
      </c>
      <c r="O198" s="155">
        <f ca="1">IF(L198&gt;0,N198*100/L198,0)</f>
        <v>58.064516129032256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IFERROR(__xludf.DUMMYFUNCTION("IMPORTRANGE(""https://docs.google.com/spreadsheets/d/1QqKyyYR6Q21VydFLVH3TRQUabQu_ym0Zz7PgGX0-kHA/edit?usp=sharing"",""แผน!AE81"")"),2000)</f>
        <v>2000</v>
      </c>
      <c r="M199" s="498"/>
      <c r="N199" s="826">
        <v>2000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IFERROR(__xludf.DUMMYFUNCTION("IMPORTRANGE(""https://docs.google.com/spreadsheets/d/1QqKyyYR6Q21VydFLVH3TRQUabQu_ym0Zz7PgGX0-kHA/edit?usp=sharing"",""แผน!AF81"")"),16000)</f>
        <v>16000</v>
      </c>
      <c r="M200" s="498"/>
      <c r="N200" s="826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IFERROR(__xludf.DUMMYFUNCTION("IMPORTRANGE(""https://docs.google.com/spreadsheets/d/1QqKyyYR6Q21VydFLVH3TRQUabQu_ym0Zz7PgGX0-kHA/edit?usp=sharing"",""แผน!AG81"")"),8000)</f>
        <v>8000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IFERROR(__xludf.DUMMYFUNCTION("IMPORTRANGE(""https://docs.google.com/spreadsheets/d/1QqKyyYR6Q21VydFLVH3TRQUabQu_ym0Zz7PgGX0-kHA/edit?usp=sharing"",""แผน!AH81"")"),5000)</f>
        <v>5000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IFERROR(__xludf.DUMMYFUNCTION("IMPORTRANGE(""https://docs.google.com/spreadsheets/d/1QqKyyYR6Q21VydFLVH3TRQUabQu_ym0Zz7PgGX0-kHA/edit?usp=sharing"",""แผน!AI81"")"),2)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IFERROR(__xludf.DUMMYFUNCTION("IMPORTRANGE(""https://docs.google.com/spreadsheets/d/1QqKyyYR6Q21VydFLVH3TRQUabQu_ym0Zz7PgGX0-kHA/edit?usp=sharing"",""แผน!AK81"")"),0)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IFERROR(__xludf.DUMMYFUNCTION("IMPORTRANGE(""https://docs.google.com/spreadsheets/d/1QqKyyYR6Q21VydFLVH3TRQUabQu_ym0Zz7PgGX0-kHA/edit?usp=sharing"",""แผน!AL81"")"),0)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IFERROR(__xludf.DUMMYFUNCTION("IMPORTRANGE(""https://docs.google.com/spreadsheets/d/1QqKyyYR6Q21VydFLVH3TRQUabQu_ym0Zz7PgGX0-kHA/edit?usp=sharing"",""แผน!AM81"")"),0)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IFERROR(__xludf.DUMMYFUNCTION("IMPORTRANGE(""https://docs.google.com/spreadsheets/d/1QqKyyYR6Q21VydFLVH3TRQUabQu_ym0Zz7PgGX0-kHA/edit?usp=sharing"",""แผน!AN81"")"),0)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IFERROR(__xludf.DUMMYFUNCTION("IMPORTRANGE(""https://docs.google.com/spreadsheets/d/1QqKyyYR6Q21VydFLVH3TRQUabQu_ym0Zz7PgGX0-kHA/edit?usp=sharing"",""แผน!AN81"")"),0)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IFERROR(__xludf.DUMMYFUNCTION("IMPORTRANGE(""https://docs.google.com/spreadsheets/d/1QqKyyYR6Q21VydFLVH3TRQUabQu_ym0Zz7PgGX0-kHA/edit?usp=sharing"",""แผน!AP81"")"),3000)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IFERROR(__xludf.DUMMYFUNCTION("IMPORTRANGE(""https://docs.google.com/spreadsheets/d/1QqKyyYR6Q21VydFLVH3TRQUabQu_ym0Zz7PgGX0-kHA/edit?usp=sharing"",""แผน!AQ81"")"),5000)</f>
        <v>5000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IFERROR(__xludf.DUMMYFUNCTION("IMPORTRANGE(""https://docs.google.com/spreadsheets/d/1QqKyyYR6Q21VydFLVH3TRQUabQu_ym0Zz7PgGX0-kHA/edit?usp=sharing"",""แผน!AR81"")"),0)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IFERROR(__xludf.DUMMYFUNCTION("IMPORTRANGE(""https://docs.google.com/spreadsheets/d/1QqKyyYR6Q21VydFLVH3TRQUabQu_ym0Zz7PgGX0-kHA/edit?usp=sharing"",""แผน!AT81"")"),20000)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IFERROR(__xludf.DUMMYFUNCTION("IMPORTRANGE(""https://docs.google.com/spreadsheets/d/1QqKyyYR6Q21VydFLVH3TRQUabQu_ym0Zz7PgGX0-kHA/edit?usp=sharing"",""แผน!AT81"")"),20000)</f>
        <v>20000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IFERROR(__xludf.DUMMYFUNCTION("IMPORTRANGE(""https://docs.google.com/spreadsheets/d/1QqKyyYR6Q21VydFLVH3TRQUabQu_ym0Zz7PgGX0-kHA/edit?usp=sharing"",""แผน!AS81"")"),0)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IFERROR(__xludf.DUMMYFUNCTION("IMPORTRANGE(""https://docs.google.com/spreadsheets/d/1QqKyyYR6Q21VydFLVH3TRQUabQu_ym0Zz7PgGX0-kHA/edit?usp=sharing"",""แผน!AV81"")"),0)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IFERROR(__xludf.DUMMYFUNCTION("IMPORTRANGE(""https://docs.google.com/spreadsheets/d/1QqKyyYR6Q21VydFLVH3TRQUabQu_ym0Zz7PgGX0-kHA/edit?usp=sharing"",""แผน!AW81"")"),0)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IFERROR(__xludf.DUMMYFUNCTION("IMPORTRANGE(""https://docs.google.com/spreadsheets/d/1QqKyyYR6Q21VydFLVH3TRQUabQu_ym0Zz7PgGX0-kHA/edit?usp=sharing"",""แผน!AX81"")"),0)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IFERROR(__xludf.DUMMYFUNCTION("IMPORTRANGE(""https://docs.google.com/spreadsheets/d/1QqKyyYR6Q21VydFLVH3TRQUabQu_ym0Zz7PgGX0-kHA/edit?usp=sharing"",""แผน!AY81"")"),0)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IFERROR(__xludf.DUMMYFUNCTION("IMPORTRANGE(""https://docs.google.com/spreadsheets/d/1QqKyyYR6Q21VydFLVH3TRQUabQu_ym0Zz7PgGX0-kHA/edit?usp=sharing"",""แผน!BE81"")"),0)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IFERROR(__xludf.DUMMYFUNCTION("IMPORTRANGE(""https://docs.google.com/spreadsheets/d/1QqKyyYR6Q21VydFLVH3TRQUabQu_ym0Zz7PgGX0-kHA/edit?usp=sharing"",""แผน!AZ81"")"),0)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IFERROR(__xludf.DUMMYFUNCTION("IMPORTRANGE(""https://docs.google.com/spreadsheets/d/1QqKyyYR6Q21VydFLVH3TRQUabQu_ym0Zz7PgGX0-kHA/edit?usp=sharing"",""แผน!BA81"")"),0)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IFERROR(__xludf.DUMMYFUNCTION("IMPORTRANGE(""https://docs.google.com/spreadsheets/d/1QqKyyYR6Q21VydFLVH3TRQUabQu_ym0Zz7PgGX0-kHA/edit?usp=sharing"",""แผน!BB81"")"),0)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IFERROR(__xludf.DUMMYFUNCTION("IMPORTRANGE(""https://docs.google.com/spreadsheets/d/1QqKyyYR6Q21VydFLVH3TRQUabQu_ym0Zz7PgGX0-kHA/edit?usp=sharing"",""แผน!BC81"")"),0)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IFERROR(__xludf.DUMMYFUNCTION("IMPORTRANGE(""https://docs.google.com/spreadsheets/d/1QqKyyYR6Q21VydFLVH3TRQUabQu_ym0Zz7PgGX0-kHA/edit?usp=sharing"",""แผน!BF81"")"),0)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26900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IFERROR(__xludf.DUMMYFUNCTION("IMPORTRANGE(""https://docs.google.com/spreadsheets/d/1MeEWN-I1oV_STSDYn1IFDPWt_1FKiwhDph83XaGc0o0/edit?usp=sharing"",""งบพรบ!CY81"")"),26900)</f>
        <v>26900</v>
      </c>
      <c r="M266" s="93">
        <f ca="1">IFERROR(__xludf.DUMMYFUNCTION("IMPORTRANGE(""https://docs.google.com/spreadsheets/d/1MeEWN-I1oV_STSDYn1IFDPWt_1FKiwhDph83XaGc0o0/edit?usp=sharing"",""งบพรบ!DD81"")"),26900)</f>
        <v>26900</v>
      </c>
      <c r="N266" s="93">
        <f ca="1">IFERROR(__xludf.DUMMYFUNCTION("IMPORTRANGE(""https://docs.google.com/spreadsheets/d/1MeEWN-I1oV_STSDYn1IFDPWt_1FKiwhDph83XaGc0o0/edit?usp=sharing"",""งบพรบ!DF81"")"),0)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IFERROR(__xludf.DUMMYFUNCTION("IMPORTRANGE(""https://docs.google.com/spreadsheets/d/1MeEWN-I1oV_STSDYn1IFDPWt_1FKiwhDph83XaGc0o0/edit?usp=sharing"",""งบพรบ!DB81"")"),0)</f>
        <v>0</v>
      </c>
      <c r="M269" s="93">
        <f ca="1">IFERROR(__xludf.DUMMYFUNCTION("IMPORTRANGE(""https://docs.google.com/spreadsheets/d/1MeEWN-I1oV_STSDYn1IFDPWt_1FKiwhDph83XaGc0o0/edit?usp=sharing"",""งบพรบ!DE81"")"),0)</f>
        <v>0</v>
      </c>
      <c r="N269" s="93">
        <f ca="1">IFERROR(__xludf.DUMMYFUNCTION("IMPORTRANGE(""https://docs.google.com/spreadsheets/d/1MeEWN-I1oV_STSDYn1IFDPWt_1FKiwhDph83XaGc0o0/edit?usp=sharing"",""งบพรบ!DG81"")"),0)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IFERROR(__xludf.DUMMYFUNCTION("IMPORTRANGE(""https://docs.google.com/spreadsheets/d/1QqKyyYR6Q21VydFLVH3TRQUabQu_ym0Zz7PgGX0-kHA/edit?usp=sharing"",""แผน!EA81"")"),22)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IFERROR(__xludf.DUMMYFUNCTION("IMPORTRANGE(""https://docs.google.com/spreadsheets/d/1MeEWN-I1oV_STSDYn1IFDPWt_1FKiwhDph83XaGc0o0/edit?usp=sharing"",""งบพรบ!DI81"")"),0)</f>
        <v>0</v>
      </c>
      <c r="M282" s="93">
        <f ca="1">IFERROR(__xludf.DUMMYFUNCTION("IMPORTRANGE(""https://docs.google.com/spreadsheets/d/1MeEWN-I1oV_STSDYn1IFDPWt_1FKiwhDph83XaGc0o0/edit?usp=sharing"",""งบพรบ!DN81"")"),0)</f>
        <v>0</v>
      </c>
      <c r="N282" s="93">
        <f ca="1">IFERROR(__xludf.DUMMYFUNCTION("IMPORTRANGE(""https://docs.google.com/spreadsheets/d/1MeEWN-I1oV_STSDYn1IFDPWt_1FKiwhDph83XaGc0o0/edit?usp=sharing"",""งบพรบ!DP81"")"),0)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IFERROR(__xludf.DUMMYFUNCTION("IMPORTRANGE(""https://docs.google.com/spreadsheets/d/1MeEWN-I1oV_STSDYn1IFDPWt_1FKiwhDph83XaGc0o0/edit?usp=sharing"",""งบพรบ!DL81"")"),0)</f>
        <v>0</v>
      </c>
      <c r="M285" s="93">
        <f ca="1">IFERROR(__xludf.DUMMYFUNCTION("IMPORTRANGE(""https://docs.google.com/spreadsheets/d/1MeEWN-I1oV_STSDYn1IFDPWt_1FKiwhDph83XaGc0o0/edit?usp=sharing"",""งบพรบ!DO81"")"),0)</f>
        <v>0</v>
      </c>
      <c r="N285" s="93">
        <f ca="1">IFERROR(__xludf.DUMMYFUNCTION("IMPORTRANGE(""https://docs.google.com/spreadsheets/d/1MeEWN-I1oV_STSDYn1IFDPWt_1FKiwhDph83XaGc0o0/edit?usp=sharing"",""งบพรบ!DQ81"")"),0)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IFERROR(__xludf.DUMMYFUNCTION("IMPORTRANGE(""https://docs.google.com/spreadsheets/d/1QqKyyYR6Q21VydFLVH3TRQUabQu_ym0Zz7PgGX0-kHA/edit?usp=sharing"",""แผน!EC81"")"),0)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IFERROR(__xludf.DUMMYFUNCTION("IMPORTRANGE(""https://docs.google.com/spreadsheets/d/1QqKyyYR6Q21VydFLVH3TRQUabQu_ym0Zz7PgGX0-kHA/edit?usp=sharing"",""แผน!EB81"")"),0)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IFERROR(__xludf.DUMMYFUNCTION("IMPORTRANGE(""https://docs.google.com/spreadsheets/d/1QqKyyYR6Q21VydFLVH3TRQUabQu_ym0Zz7PgGX0-kHA/edit?usp=sharing"",""แผน!EB81"")"),0)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IFERROR(__xludf.DUMMYFUNCTION("IMPORTRANGE(""https://docs.google.com/spreadsheets/d/1QqKyyYR6Q21VydFLVH3TRQUabQu_ym0Zz7PgGX0-kHA/edit?usp=sharing"",""แผน!EB81"")"),0)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IFERROR(__xludf.DUMMYFUNCTION("IMPORTRANGE(""https://docs.google.com/spreadsheets/d/1QqKyyYR6Q21VydFLVH3TRQUabQu_ym0Zz7PgGX0-kHA/edit?usp=sharing"",""แผน!EB81"")"),0)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IFERROR(__xludf.DUMMYFUNCTION("IMPORTRANGE(""https://docs.google.com/spreadsheets/d/1QqKyyYR6Q21VydFLVH3TRQUabQu_ym0Zz7PgGX0-kHA/edit?usp=sharing"",""แผน!EB81"")"),0)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IFERROR(__xludf.DUMMYFUNCTION("IMPORTRANGE(""https://docs.google.com/spreadsheets/d/1MeEWN-I1oV_STSDYn1IFDPWt_1FKiwhDph83XaGc0o0/edit?usp=sharing"",""งบพรบ!DS81"")"),0)</f>
        <v>0</v>
      </c>
      <c r="M303" s="93">
        <f ca="1">IFERROR(__xludf.DUMMYFUNCTION("IMPORTRANGE(""https://docs.google.com/spreadsheets/d/1MeEWN-I1oV_STSDYn1IFDPWt_1FKiwhDph83XaGc0o0/edit?usp=sharing"",""งบพรบ!DX81"")"),0)</f>
        <v>0</v>
      </c>
      <c r="N303" s="93">
        <f ca="1">IFERROR(__xludf.DUMMYFUNCTION("IMPORTRANGE(""https://docs.google.com/spreadsheets/d/1MeEWN-I1oV_STSDYn1IFDPWt_1FKiwhDph83XaGc0o0/edit?usp=sharing"",""งบพรบ!DZ81"")"),0)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IFERROR(__xludf.DUMMYFUNCTION("IMPORTRANGE(""https://docs.google.com/spreadsheets/d/1MeEWN-I1oV_STSDYn1IFDPWt_1FKiwhDph83XaGc0o0/edit?usp=sharing"",""งบพรบ!DV81"")"),0)</f>
        <v>0</v>
      </c>
      <c r="M306" s="93">
        <f ca="1">IFERROR(__xludf.DUMMYFUNCTION("IMPORTRANGE(""https://docs.google.com/spreadsheets/d/1MeEWN-I1oV_STSDYn1IFDPWt_1FKiwhDph83XaGc0o0/edit?usp=sharing"",""งบพรบ!DY81"")"),0)</f>
        <v>0</v>
      </c>
      <c r="N306" s="93">
        <f ca="1">IFERROR(__xludf.DUMMYFUNCTION("IMPORTRANGE(""https://docs.google.com/spreadsheets/d/1MeEWN-I1oV_STSDYn1IFDPWt_1FKiwhDph83XaGc0o0/edit?usp=sharing"",""งบพรบ!EA81"")"),0)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IFERROR(__xludf.DUMMYFUNCTION("IMPORTRANGE(""https://docs.google.com/spreadsheets/d/1QqKyyYR6Q21VydFLVH3TRQUabQu_ym0Zz7PgGX0-kHA/edit?usp=sharing"",""แผน!ED81"")"),0)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IFERROR(__xludf.DUMMYFUNCTION("IMPORTRANGE(""https://docs.google.com/spreadsheets/d/1QqKyyYR6Q21VydFLVH3TRQUabQu_ym0Zz7PgGX0-kHA/edit?usp=sharing"",""แผน!ED81"")"),0)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IFERROR(__xludf.DUMMYFUNCTION("IMPORTRANGE(""https://docs.google.com/spreadsheets/d/1QqKyyYR6Q21VydFLVH3TRQUabQu_ym0Zz7PgGX0-kHA/edit?usp=sharing"",""แผน!ED81"")"),0)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IFERROR(__xludf.DUMMYFUNCTION("IMPORTRANGE(""https://docs.google.com/spreadsheets/d/1QqKyyYR6Q21VydFLVH3TRQUabQu_ym0Zz7PgGX0-kHA/edit?usp=sharing"",""แผน!EE81"")"),0)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IFERROR(__xludf.DUMMYFUNCTION("IMPORTRANGE(""https://docs.google.com/spreadsheets/d/1MeEWN-I1oV_STSDYn1IFDPWt_1FKiwhDph83XaGc0o0/edit?usp=sharing"",""งบพรบ!EC81"")"),0)</f>
        <v>0</v>
      </c>
      <c r="M320" s="93">
        <f ca="1">IFERROR(__xludf.DUMMYFUNCTION("IMPORTRANGE(""https://docs.google.com/spreadsheets/d/1MeEWN-I1oV_STSDYn1IFDPWt_1FKiwhDph83XaGc0o0/edit?usp=sharing"",""งบพรบ!EH81"")"),0)</f>
        <v>0</v>
      </c>
      <c r="N320" s="93">
        <f ca="1">IFERROR(__xludf.DUMMYFUNCTION("IMPORTRANGE(""https://docs.google.com/spreadsheets/d/1MeEWN-I1oV_STSDYn1IFDPWt_1FKiwhDph83XaGc0o0/edit?usp=sharing"",""งบพรบ!EJ81"")"),0)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IFERROR(__xludf.DUMMYFUNCTION("IMPORTRANGE(""https://docs.google.com/spreadsheets/d/1MeEWN-I1oV_STSDYn1IFDPWt_1FKiwhDph83XaGc0o0/edit?usp=sharing"",""งบพรบ!EF81"")"),0)</f>
        <v>0</v>
      </c>
      <c r="M323" s="93">
        <f ca="1">IFERROR(__xludf.DUMMYFUNCTION("IMPORTRANGE(""https://docs.google.com/spreadsheets/d/1MeEWN-I1oV_STSDYn1IFDPWt_1FKiwhDph83XaGc0o0/edit?usp=sharing"",""งบพรบ!EI81"")"),0)</f>
        <v>0</v>
      </c>
      <c r="N323" s="93">
        <f ca="1">IFERROR(__xludf.DUMMYFUNCTION("IMPORTRANGE(""https://docs.google.com/spreadsheets/d/1MeEWN-I1oV_STSDYn1IFDPWt_1FKiwhDph83XaGc0o0/edit?usp=sharing"",""งบพรบ!EK81"")"),0)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IFERROR(__xludf.DUMMYFUNCTION("IMPORTRANGE(""https://docs.google.com/spreadsheets/d/1QqKyyYR6Q21VydFLVH3TRQUabQu_ym0Zz7PgGX0-kHA/edit?usp=sharing"",""แผน!EF81"")"),0)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IFERROR(__xludf.DUMMYFUNCTION("IMPORTRANGE(""https://docs.google.com/spreadsheets/d/1QqKyyYR6Q21VydFLVH3TRQUabQu_ym0Zz7PgGX0-kHA/edit?usp=sharing"",""แผน!EG81"")"),800)</f>
        <v>800</v>
      </c>
      <c r="J327" s="445">
        <f ca="1">J338+J341+J342+J343</f>
        <v>1264</v>
      </c>
      <c r="K327" s="446">
        <f ca="1">IF(I327&gt;0,J327*100/I327,0)</f>
        <v>158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163000</v>
      </c>
      <c r="M328" s="155">
        <f t="shared" ca="1" si="149"/>
        <v>165500</v>
      </c>
      <c r="N328" s="155">
        <f t="shared" ca="1" si="149"/>
        <v>93207.33</v>
      </c>
      <c r="O328" s="155">
        <f t="shared" ref="O328:O336" ca="1" si="150">IF(L328&gt;0,N328*100/L328,0)</f>
        <v>57.182411042944786</v>
      </c>
      <c r="P328" s="155">
        <f t="shared" ref="P328:P336" ca="1" si="151">IF(M328&gt;0,N328*100/M328,0)</f>
        <v>56.318628398791539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163000</v>
      </c>
      <c r="M330" s="93">
        <f t="shared" ca="1" si="152"/>
        <v>165500</v>
      </c>
      <c r="N330" s="93">
        <f t="shared" ca="1" si="152"/>
        <v>93207.33</v>
      </c>
      <c r="O330" s="93">
        <f t="shared" ca="1" si="150"/>
        <v>57.182411042944786</v>
      </c>
      <c r="P330" s="93">
        <f t="shared" ca="1" si="151"/>
        <v>56.318628398791539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163000</v>
      </c>
      <c r="M331" s="498">
        <f t="shared" ca="1" si="153"/>
        <v>165500</v>
      </c>
      <c r="N331" s="498">
        <f t="shared" ca="1" si="153"/>
        <v>93207.33</v>
      </c>
      <c r="O331" s="498">
        <f t="shared" ca="1" si="150"/>
        <v>57.182411042944786</v>
      </c>
      <c r="P331" s="498">
        <f t="shared" ca="1" si="151"/>
        <v>56.318628398791539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IFERROR(__xludf.DUMMYFUNCTION("IMPORTRANGE(""https://docs.google.com/spreadsheets/d/1MeEWN-I1oV_STSDYn1IFDPWt_1FKiwhDph83XaGc0o0/edit?usp=sharing"",""งบพรบ!EM81"")"),163000)</f>
        <v>163000</v>
      </c>
      <c r="M333" s="93">
        <f ca="1">IFERROR(__xludf.DUMMYFUNCTION("IMPORTRANGE(""https://docs.google.com/spreadsheets/d/1MeEWN-I1oV_STSDYn1IFDPWt_1FKiwhDph83XaGc0o0/edit?usp=sharing"",""งบพรบ!ER81"")"),165500)</f>
        <v>165500</v>
      </c>
      <c r="N333" s="93">
        <f ca="1">IFERROR(__xludf.DUMMYFUNCTION("IMPORTRANGE(""https://docs.google.com/spreadsheets/d/1MeEWN-I1oV_STSDYn1IFDPWt_1FKiwhDph83XaGc0o0/edit?usp=sharing"",""งบพรบ!ET81"")"),93207.33)</f>
        <v>93207.33</v>
      </c>
      <c r="O333" s="93">
        <f t="shared" ca="1" si="150"/>
        <v>57.182411042944786</v>
      </c>
      <c r="P333" s="93">
        <f t="shared" ca="1" si="151"/>
        <v>56.318628398791539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IFERROR(__xludf.DUMMYFUNCTION("IMPORTRANGE(""https://docs.google.com/spreadsheets/d/1MeEWN-I1oV_STSDYn1IFDPWt_1FKiwhDph83XaGc0o0/edit?usp=sharing"",""งบพรบ!EP81"")"),0)</f>
        <v>0</v>
      </c>
      <c r="M336" s="93">
        <f ca="1">IFERROR(__xludf.DUMMYFUNCTION("IMPORTRANGE(""https://docs.google.com/spreadsheets/d/1MeEWN-I1oV_STSDYn1IFDPWt_1FKiwhDph83XaGc0o0/edit?usp=sharing"",""งบพรบ!ES81"")"),0)</f>
        <v>0</v>
      </c>
      <c r="N336" s="93">
        <f ca="1">IFERROR(__xludf.DUMMYFUNCTION("IMPORTRANGE(""https://docs.google.com/spreadsheets/d/1MeEWN-I1oV_STSDYn1IFDPWt_1FKiwhDph83XaGc0o0/edit?usp=sharing"",""งบพรบ!EU81"")"),0)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IFERROR(__xludf.DUMMYFUNCTION("IMPORTRANGE(""https://docs.google.com/spreadsheets/d/1QqKyyYR6Q21VydFLVH3TRQUabQu_ym0Zz7PgGX0-kHA/edit?usp=sharing"",""แผน!EG81"")"),800)</f>
        <v>800</v>
      </c>
      <c r="J338" s="270">
        <f ca="1">IFERROR(__xludf.DUMMYFUNCTION("IMPORTRANGE(""https://docs.google.com/spreadsheets/d/1kVcqe37tkHyjCSG3S0O1AXqVkqjo8mSIZil3BcpIysc/edit?usp=sharing"",""ศูนย์!D81"")"),1185)</f>
        <v>1185</v>
      </c>
      <c r="K338" s="498">
        <f ca="1">IF(I338&gt;0,J338*100/I338,0)</f>
        <v>148.125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IFERROR(__xludf.DUMMYFUNCTION("IMPORTRANGE(""https://docs.google.com/spreadsheets/d/1QqKyyYR6Q21VydFLVH3TRQUabQu_ym0Zz7PgGX0-kHA/edit?usp=sharing"",""แผน!EH81"")"),5)</f>
        <v>5</v>
      </c>
      <c r="J340" s="270">
        <f ca="1">IFERROR(__xludf.DUMMYFUNCTION("IMPORTRANGE(""https://docs.google.com/spreadsheets/d/1kVcqe37tkHyjCSG3S0O1AXqVkqjo8mSIZil3BcpIysc/edit?usp=sharing"",""ศูนย์!E81"")"),4)</f>
        <v>4</v>
      </c>
      <c r="K340" s="498">
        <f ca="1">IF(I340&gt;0,J340*100/I340,0)</f>
        <v>80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IFERROR(__xludf.DUMMYFUNCTION("IMPORTRANGE(""https://docs.google.com/spreadsheets/d/1kVcqe37tkHyjCSG3S0O1AXqVkqjo8mSIZil3BcpIysc/edit?usp=sharing"",""ศูนย์!F81"")"),79)</f>
        <v>79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IFERROR(__xludf.DUMMYFUNCTION("IMPORTRANGE(""https://docs.google.com/spreadsheets/d/1kVcqe37tkHyjCSG3S0O1AXqVkqjo8mSIZil3BcpIysc/edit?usp=sharing"",""ศูนย์!G81"")"),0)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IFERROR(__xludf.DUMMYFUNCTION("IMPORTRANGE(""https://docs.google.com/spreadsheets/d/1kVcqe37tkHyjCSG3S0O1AXqVkqjo8mSIZil3BcpIysc/edit?usp=sharing"",""ศูนย์!H81"")"),0)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661560</v>
      </c>
      <c r="M345" s="155">
        <f t="shared" ca="1" si="155"/>
        <v>711360</v>
      </c>
      <c r="N345" s="155">
        <f t="shared" ca="1" si="155"/>
        <v>440571.95</v>
      </c>
      <c r="O345" s="155">
        <f t="shared" ref="O345:O353" ca="1" si="156">IF(L345&gt;0,N345*100/L345,0)</f>
        <v>66.595917225950785</v>
      </c>
      <c r="P345" s="155">
        <f t="shared" ref="P345:P353" ca="1" si="157">IF(M345&gt;0,N345*100/M345,0)</f>
        <v>61.933753654970758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661560</v>
      </c>
      <c r="M347" s="93">
        <f t="shared" ca="1" si="158"/>
        <v>711360</v>
      </c>
      <c r="N347" s="93">
        <f t="shared" ca="1" si="158"/>
        <v>440571.95</v>
      </c>
      <c r="O347" s="93">
        <f t="shared" ca="1" si="156"/>
        <v>66.595917225950785</v>
      </c>
      <c r="P347" s="93">
        <f t="shared" ca="1" si="157"/>
        <v>61.933753654970758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585560</v>
      </c>
      <c r="M348" s="498">
        <f t="shared" ca="1" si="159"/>
        <v>635560</v>
      </c>
      <c r="N348" s="498">
        <f t="shared" ca="1" si="159"/>
        <v>364771.95</v>
      </c>
      <c r="O348" s="498">
        <f t="shared" ca="1" si="156"/>
        <v>62.294547100211766</v>
      </c>
      <c r="P348" s="498">
        <f t="shared" ca="1" si="157"/>
        <v>57.393786581912018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IFERROR(__xludf.DUMMYFUNCTION("IMPORTRANGE(""https://docs.google.com/spreadsheets/d/1MeEWN-I1oV_STSDYn1IFDPWt_1FKiwhDph83XaGc0o0/edit?usp=sharing"",""งบพรบ!EW81"")"),585560)</f>
        <v>585560</v>
      </c>
      <c r="M350" s="93">
        <f ca="1">IFERROR(__xludf.DUMMYFUNCTION("IMPORTRANGE(""https://docs.google.com/spreadsheets/d/1MeEWN-I1oV_STSDYn1IFDPWt_1FKiwhDph83XaGc0o0/edit?usp=sharing"",""งบพรบ!FB81"")"),635560)</f>
        <v>635560</v>
      </c>
      <c r="N350" s="93">
        <f ca="1">IFERROR(__xludf.DUMMYFUNCTION("IMPORTRANGE(""https://docs.google.com/spreadsheets/d/1MeEWN-I1oV_STSDYn1IFDPWt_1FKiwhDph83XaGc0o0/edit?usp=sharing"",""งบพรบ!FD81"")"),364771.95)</f>
        <v>364771.95</v>
      </c>
      <c r="O350" s="93">
        <f t="shared" ca="1" si="156"/>
        <v>62.294547100211766</v>
      </c>
      <c r="P350" s="93">
        <f t="shared" ca="1" si="157"/>
        <v>57.393786581912018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75800</v>
      </c>
      <c r="N351" s="498">
        <f t="shared" ca="1" si="160"/>
        <v>75800</v>
      </c>
      <c r="O351" s="498">
        <f t="shared" ca="1" si="156"/>
        <v>99.736842105263165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IFERROR(__xludf.DUMMYFUNCTION("IMPORTRANGE(""https://docs.google.com/spreadsheets/d/1MeEWN-I1oV_STSDYn1IFDPWt_1FKiwhDph83XaGc0o0/edit?usp=sharing"",""งบพรบ!EZ81"")"),76000)</f>
        <v>76000</v>
      </c>
      <c r="M353" s="93">
        <f ca="1">IFERROR(__xludf.DUMMYFUNCTION("IMPORTRANGE(""https://docs.google.com/spreadsheets/d/1MeEWN-I1oV_STSDYn1IFDPWt_1FKiwhDph83XaGc0o0/edit?usp=sharing"",""งบพรบ!FC81"")"),75800)</f>
        <v>75800</v>
      </c>
      <c r="N353" s="93">
        <f ca="1">IFERROR(__xludf.DUMMYFUNCTION("IMPORTRANGE(""https://docs.google.com/spreadsheets/d/1MeEWN-I1oV_STSDYn1IFDPWt_1FKiwhDph83XaGc0o0/edit?usp=sharing"",""งบพรบ!FE81"")"),75800)</f>
        <v>75800</v>
      </c>
      <c r="O353" s="93">
        <f t="shared" ca="1" si="156"/>
        <v>99.736842105263165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IFERROR(__xludf.DUMMYFUNCTION("IMPORTRANGE(""https://docs.google.com/spreadsheets/d/1QqKyyYR6Q21VydFLVH3TRQUabQu_ym0Zz7PgGX0-kHA/edit?usp=sharing"",""แผน!EP81"")"),80)</f>
        <v>80</v>
      </c>
      <c r="J355" s="465">
        <f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IFERROR(__xludf.DUMMYFUNCTION("IMPORTRANGE(""https://docs.google.com/spreadsheets/d/1XWAQStnk-4SwqDmLtmXYiTMKHgktTP8We1SCoS47DrQ/edit?usp=sharing"",""จัดที่ดิน!W81"")"),9)</f>
        <v>9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IFERROR(__xludf.DUMMYFUNCTION("IMPORTRANGE(""https://docs.google.com/spreadsheets/d/1QqKyyYR6Q21VydFLVH3TRQUabQu_ym0Zz7PgGX0-kHA/edit?usp=sharing"",""แผน!EO81"")"),650)</f>
        <v>650</v>
      </c>
      <c r="J359" s="270">
        <v>0</v>
      </c>
      <c r="K359" s="498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IFERROR(__xludf.DUMMYFUNCTION("IMPORTRANGE(""https://docs.google.com/spreadsheets/d/1QqKyyYR6Q21VydFLVH3TRQUabQu_ym0Zz7PgGX0-kHA/edit?usp=sharing"",""แผน!EP81"")"),80)</f>
        <v>80</v>
      </c>
      <c r="J360" s="270">
        <v>0</v>
      </c>
      <c r="K360" s="498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IFERROR(__xludf.DUMMYFUNCTION("IMPORTRANGE(""https://docs.google.com/spreadsheets/d/1XWAQStnk-4SwqDmLtmXYiTMKHgktTP8We1SCoS47DrQ/edit?usp=sharing"",""จัดที่ดิน!Z81"")"),64.05)</f>
        <v>64.05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IFERROR(__xludf.DUMMYFUNCTION("IMPORTRANGE(""https://docs.google.com/spreadsheets/d/1QqKyyYR6Q21VydFLVH3TRQUabQu_ym0Zz7PgGX0-kHA/edit?usp=sharing"",""แผน!EP81"")"),80)</f>
        <v>80</v>
      </c>
      <c r="J362" s="270"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IFERROR(__xludf.DUMMYFUNCTION("IMPORTRANGE(""https://docs.google.com/spreadsheets/d/1XWAQStnk-4SwqDmLtmXYiTMKHgktTP8We1SCoS47DrQ/edit?usp=sharing"",""จัดที่ดิน!AB81"")"),64.05)</f>
        <v>64.05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130</v>
      </c>
      <c r="J364" s="479">
        <f t="shared" ca="1" si="162"/>
        <v>37</v>
      </c>
      <c r="K364" s="480">
        <f t="shared" ca="1" si="161"/>
        <v>28.46153846153846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IFERROR(__xludf.DUMMYFUNCTION("IMPORTRANGE(""https://docs.google.com/spreadsheets/d/1QqKyyYR6Q21VydFLVH3TRQUabQu_ym0Zz7PgGX0-kHA/edit?usp=sharing"",""แผน!EJ81"")"),30)</f>
        <v>30</v>
      </c>
      <c r="J365" s="491">
        <f ca="1">J372</f>
        <v>2</v>
      </c>
      <c r="K365" s="492">
        <f t="shared" ca="1" si="161"/>
        <v>6.666666666666667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IFERROR(__xludf.DUMMYFUNCTION("IMPORTRANGE(""https://docs.google.com/spreadsheets/d/1XWAQStnk-4SwqDmLtmXYiTMKHgktTP8We1SCoS47DrQ/edit?usp=sharing"",""จัดที่ดิน!E81"")"),2)</f>
        <v>2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IFERROR(__xludf.DUMMYFUNCTION("IMPORTRANGE(""https://docs.google.com/spreadsheets/d/1QqKyyYR6Q21VydFLVH3TRQUabQu_ym0Zz7PgGX0-kHA/edit?usp=sharing"",""แผน!EI81"")"),200)</f>
        <v>200</v>
      </c>
      <c r="J369" s="270">
        <f ca="1">IFERROR(__xludf.DUMMYFUNCTION("IMPORTRANGE(""https://docs.google.com/spreadsheets/d/1XWAQStnk-4SwqDmLtmXYiTMKHgktTP8We1SCoS47DrQ/edit?usp=sharing"",""จัดที่ดิน!F81"")"),4.04)</f>
        <v>4.04</v>
      </c>
      <c r="K369" s="498">
        <f t="shared" ca="1" si="163"/>
        <v>2.02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IFERROR(__xludf.DUMMYFUNCTION("IMPORTRANGE(""https://docs.google.com/spreadsheets/d/1QqKyyYR6Q21VydFLVH3TRQUabQu_ym0Zz7PgGX0-kHA/edit?usp=sharing"",""แผน!EJ81"")"),30)</f>
        <v>30</v>
      </c>
      <c r="J370" s="270">
        <f ca="1">IFERROR(__xludf.DUMMYFUNCTION("IMPORTRANGE(""https://docs.google.com/spreadsheets/d/1XWAQStnk-4SwqDmLtmXYiTMKHgktTP8We1SCoS47DrQ/edit?usp=sharing"",""จัดที่ดิน!G81"")"),2)</f>
        <v>2</v>
      </c>
      <c r="K370" s="498">
        <f t="shared" ca="1" si="163"/>
        <v>6.666666666666667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IFERROR(__xludf.DUMMYFUNCTION("IMPORTRANGE(""https://docs.google.com/spreadsheets/d/1XWAQStnk-4SwqDmLtmXYiTMKHgktTP8We1SCoS47DrQ/edit?usp=sharing"",""จัดที่ดิน!H81"")"),4.04)</f>
        <v>4.04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IFERROR(__xludf.DUMMYFUNCTION("IMPORTRANGE(""https://docs.google.com/spreadsheets/d/1QqKyyYR6Q21VydFLVH3TRQUabQu_ym0Zz7PgGX0-kHA/edit?usp=sharing"",""แผน!EJ81"")"),30)</f>
        <v>30</v>
      </c>
      <c r="J372" s="270">
        <f ca="1">IFERROR(__xludf.DUMMYFUNCTION("IMPORTRANGE(""https://docs.google.com/spreadsheets/d/1XWAQStnk-4SwqDmLtmXYiTMKHgktTP8We1SCoS47DrQ/edit?usp=sharing"",""จัดที่ดิน!I81"")"),2)</f>
        <v>2</v>
      </c>
      <c r="K372" s="498">
        <f t="shared" ca="1" si="163"/>
        <v>6.666666666666667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IFERROR(__xludf.DUMMYFUNCTION("IMPORTRANGE(""https://docs.google.com/spreadsheets/d/1XWAQStnk-4SwqDmLtmXYiTMKHgktTP8We1SCoS47DrQ/edit?usp=sharing"",""จัดที่ดิน!J81"")"),4.04)</f>
        <v>4.04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IFERROR(__xludf.DUMMYFUNCTION("IMPORTRANGE(""https://docs.google.com/spreadsheets/d/1QqKyyYR6Q21VydFLVH3TRQUabQu_ym0Zz7PgGX0-kHA/edit?usp=sharing"",""แผน!EU81"")"),100)</f>
        <v>100</v>
      </c>
      <c r="J374" s="491">
        <f ca="1">J381</f>
        <v>35</v>
      </c>
      <c r="K374" s="492">
        <f t="shared" ca="1" si="163"/>
        <v>35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IFERROR(__xludf.DUMMYFUNCTION("IMPORTRANGE(""https://docs.google.com/spreadsheets/d/1XWAQStnk-4SwqDmLtmXYiTMKHgktTP8We1SCoS47DrQ/edit?usp=sharing"",""จัดที่ดิน!AH81"")"),7)</f>
        <v>7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IFERROR(__xludf.DUMMYFUNCTION("IMPORTRANGE(""https://docs.google.com/spreadsheets/d/1QqKyyYR6Q21VydFLVH3TRQUabQu_ym0Zz7PgGX0-kHA/edit?usp=sharing"",""แผน!ET81"")"),450)</f>
        <v>450</v>
      </c>
      <c r="J378" s="270">
        <f ca="1">IFERROR(__xludf.DUMMYFUNCTION("IMPORTRANGE(""https://docs.google.com/spreadsheets/d/1XWAQStnk-4SwqDmLtmXYiTMKHgktTP8We1SCoS47DrQ/edit?usp=sharing"",""จัดที่ดิน!AI81"")"),60.01)</f>
        <v>60.01</v>
      </c>
      <c r="K378" s="498">
        <f t="shared" ca="1" si="164"/>
        <v>13.335555555555555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IFERROR(__xludf.DUMMYFUNCTION("IMPORTRANGE(""https://docs.google.com/spreadsheets/d/1QqKyyYR6Q21VydFLVH3TRQUabQu_ym0Zz7PgGX0-kHA/edit?usp=sharing"",""แผน!EU81"")"),100)</f>
        <v>100</v>
      </c>
      <c r="J379" s="270">
        <f ca="1">IFERROR(__xludf.DUMMYFUNCTION("IMPORTRANGE(""https://docs.google.com/spreadsheets/d/1XWAQStnk-4SwqDmLtmXYiTMKHgktTP8We1SCoS47DrQ/edit?usp=sharing"",""จัดที่ดิน!AJ81"")"),35)</f>
        <v>35</v>
      </c>
      <c r="K379" s="498">
        <f t="shared" ca="1" si="164"/>
        <v>35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IFERROR(__xludf.DUMMYFUNCTION("IMPORTRANGE(""https://docs.google.com/spreadsheets/d/1XWAQStnk-4SwqDmLtmXYiTMKHgktTP8We1SCoS47DrQ/edit?usp=sharing"",""จัดที่ดิน!AK81"")"),347)</f>
        <v>347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IFERROR(__xludf.DUMMYFUNCTION("IMPORTRANGE(""https://docs.google.com/spreadsheets/d/1QqKyyYR6Q21VydFLVH3TRQUabQu_ym0Zz7PgGX0-kHA/edit?usp=sharing"",""แผน!EU81"")"),100)</f>
        <v>100</v>
      </c>
      <c r="J381" s="270">
        <f ca="1">IFERROR(__xludf.DUMMYFUNCTION("IMPORTRANGE(""https://docs.google.com/spreadsheets/d/1XWAQStnk-4SwqDmLtmXYiTMKHgktTP8We1SCoS47DrQ/edit?usp=sharing"",""จัดที่ดิน!AL81"")"),35)</f>
        <v>35</v>
      </c>
      <c r="K381" s="498">
        <f t="shared" ca="1" si="164"/>
        <v>35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IFERROR(__xludf.DUMMYFUNCTION("IMPORTRANGE(""https://docs.google.com/spreadsheets/d/1XWAQStnk-4SwqDmLtmXYiTMKHgktTP8We1SCoS47DrQ/edit?usp=sharing"",""จัดที่ดิน!AM81"")"),347)</f>
        <v>347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IFERROR(__xludf.DUMMYFUNCTION("IMPORTRANGE(""https://docs.google.com/spreadsheets/d/1QqKyyYR6Q21VydFLVH3TRQUabQu_ym0Zz7PgGX0-kHA/edit?usp=sharing"",""แผน!EW81"")"),10)</f>
        <v>10</v>
      </c>
      <c r="J385" s="505">
        <f ca="1">IFERROR(__xludf.DUMMYFUNCTION("IMPORTRANGE(""https://docs.google.com/spreadsheets/d/1XWAQStnk-4SwqDmLtmXYiTMKHgktTP8We1SCoS47DrQ/edit?usp=sharing"",""จัดที่ดิน!AP81"")"),0)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IFERROR(__xludf.DUMMYFUNCTION("IMPORTRANGE(""https://docs.google.com/spreadsheets/d/1MeEWN-I1oV_STSDYn1IFDPWt_1FKiwhDph83XaGc0o0/edit?usp=sharing"",""งบพรบ!FG81"")"),0)</f>
        <v>0</v>
      </c>
      <c r="M394" s="93">
        <f ca="1">IFERROR(__xludf.DUMMYFUNCTION("IMPORTRANGE(""https://docs.google.com/spreadsheets/d/1MeEWN-I1oV_STSDYn1IFDPWt_1FKiwhDph83XaGc0o0/edit?usp=sharing"",""งบพรบ!FL81"")"),0)</f>
        <v>0</v>
      </c>
      <c r="N394" s="93">
        <f ca="1">IFERROR(__xludf.DUMMYFUNCTION("IMPORTRANGE(""https://docs.google.com/spreadsheets/d/1MeEWN-I1oV_STSDYn1IFDPWt_1FKiwhDph83XaGc0o0/edit?usp=sharing"",""งบพรบ!FN81"")"),0)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IFERROR(__xludf.DUMMYFUNCTION("IMPORTRANGE(""https://docs.google.com/spreadsheets/d/1MeEWN-I1oV_STSDYn1IFDPWt_1FKiwhDph83XaGc0o0/edit?usp=sharing"",""งบพรบ!FJ81"")"),0)</f>
        <v>0</v>
      </c>
      <c r="M397" s="93">
        <f ca="1">IFERROR(__xludf.DUMMYFUNCTION("IMPORTRANGE(""https://docs.google.com/spreadsheets/d/1MeEWN-I1oV_STSDYn1IFDPWt_1FKiwhDph83XaGc0o0/edit?usp=sharing"",""งบพรบ!FM81"")"),0)</f>
        <v>0</v>
      </c>
      <c r="N397" s="93">
        <f ca="1">IFERROR(__xludf.DUMMYFUNCTION("IMPORTRANGE(""https://docs.google.com/spreadsheets/d/1MeEWN-I1oV_STSDYn1IFDPWt_1FKiwhDph83XaGc0o0/edit?usp=sharing"",""งบพรบ!FO81"")"),0)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IFERROR(__xludf.DUMMYFUNCTION("IMPORTRANGE(""https://docs.google.com/spreadsheets/d/1MeEWN-I1oV_STSDYn1IFDPWt_1FKiwhDph83XaGc0o0/edit?usp=sharing"",""งบพรบ!FQ81"")"),0)</f>
        <v>0</v>
      </c>
      <c r="M407" s="93">
        <f ca="1">IFERROR(__xludf.DUMMYFUNCTION("IMPORTRANGE(""https://docs.google.com/spreadsheets/d/1MeEWN-I1oV_STSDYn1IFDPWt_1FKiwhDph83XaGc0o0/edit?usp=sharing"",""งบพรบ!FV81"")"),0)</f>
        <v>0</v>
      </c>
      <c r="N407" s="93">
        <f ca="1">IFERROR(__xludf.DUMMYFUNCTION("IMPORTRANGE(""https://docs.google.com/spreadsheets/d/1MeEWN-I1oV_STSDYn1IFDPWt_1FKiwhDph83XaGc0o0/edit?usp=sharing"",""งบพรบ!FX81"")"),0)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IFERROR(__xludf.DUMMYFUNCTION("IMPORTRANGE(""https://docs.google.com/spreadsheets/d/1MeEWN-I1oV_STSDYn1IFDPWt_1FKiwhDph83XaGc0o0/edit?usp=sharing"",""งบพรบ!FT81"")"),0)</f>
        <v>0</v>
      </c>
      <c r="M410" s="93">
        <f ca="1">IFERROR(__xludf.DUMMYFUNCTION("IMPORTRANGE(""https://docs.google.com/spreadsheets/d/1MeEWN-I1oV_STSDYn1IFDPWt_1FKiwhDph83XaGc0o0/edit?usp=sharing"",""งบพรบ!FW81"")"),0)</f>
        <v>0</v>
      </c>
      <c r="N410" s="93">
        <f ca="1">IFERROR(__xludf.DUMMYFUNCTION("IMPORTRANGE(""https://docs.google.com/spreadsheets/d/1MeEWN-I1oV_STSDYn1IFDPWt_1FKiwhDph83XaGc0o0/edit?usp=sharing"",""งบพรบ!FY81"")"),0)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734746</v>
      </c>
      <c r="M414" s="553">
        <f t="shared" ca="1" si="181"/>
        <v>734746</v>
      </c>
      <c r="N414" s="553">
        <f t="shared" si="181"/>
        <v>550611</v>
      </c>
      <c r="O414" s="553">
        <f ca="1">IF(L414&gt;0,N414*100/L414,0)</f>
        <v>74.938958497222174</v>
      </c>
      <c r="P414" s="553">
        <f ca="1">IF(M414&gt;0,N414*100/M414,0)</f>
        <v>74.938958497222174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48115</v>
      </c>
      <c r="O419" s="155">
        <f t="shared" ref="O419:O424" ca="1" si="185">IF(L419&gt;0,N419*100/L419,0)</f>
        <v>61.168319349097381</v>
      </c>
      <c r="P419" s="155">
        <f t="shared" ref="P419:P424" ca="1" si="186">IF(M419&gt;0,N419*100/M419,0)</f>
        <v>61.168319349097381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48115</v>
      </c>
      <c r="O421" s="93">
        <f t="shared" ca="1" si="185"/>
        <v>61.168319349097381</v>
      </c>
      <c r="P421" s="93">
        <f t="shared" ca="1" si="186"/>
        <v>61.168319349097381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78660</v>
      </c>
      <c r="N422" s="498">
        <f t="shared" si="188"/>
        <v>48115</v>
      </c>
      <c r="O422" s="498">
        <f t="shared" ca="1" si="185"/>
        <v>61.168319349097381</v>
      </c>
      <c r="P422" s="498">
        <f t="shared" ca="1" si="186"/>
        <v>61.168319349097381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IFERROR(__xludf.DUMMYFUNCTION("IMPORTRANGE(""https://docs.google.com/spreadsheets/d/1QqKyyYR6Q21VydFLVH3TRQUabQu_ym0Zz7PgGX0-kHA/edit?usp=sharing"",""แผน!EY81"")"),78660)</f>
        <v>78660</v>
      </c>
      <c r="M424" s="93">
        <f ca="1">L424</f>
        <v>78660</v>
      </c>
      <c r="N424" s="93">
        <f>N425+N426+N427+N428</f>
        <v>48115</v>
      </c>
      <c r="O424" s="93">
        <f t="shared" ca="1" si="185"/>
        <v>61.168319349097381</v>
      </c>
      <c r="P424" s="93">
        <f t="shared" ca="1" si="186"/>
        <v>61.168319349097381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26315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21800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IFERROR(__xludf.DUMMYFUNCTION("IMPORTRANGE(""https://docs.google.com/spreadsheets/d/1QqKyyYR6Q21VydFLVH3TRQUabQu_ym0Zz7PgGX0-kHA/edit?usp=sharing"",""แผน!FC81"")"),20)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IFERROR(__xludf.DUMMYFUNCTION("IMPORTRANGE(""https://docs.google.com/spreadsheets/d/1QqKyyYR6Q21VydFLVH3TRQUabQu_ym0Zz7PgGX0-kHA/edit?usp=sharing"",""แผน!FD81"")"),0)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IFERROR(__xludf.DUMMYFUNCTION("IMPORTRANGE(""https://docs.google.com/spreadsheets/d/1QqKyyYR6Q21VydFLVH3TRQUabQu_ym0Zz7PgGX0-kHA/edit?usp=sharing"",""แผน!FE81"")"),0)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IFERROR(__xludf.DUMMYFUNCTION("IMPORTRANGE(""https://docs.google.com/spreadsheets/d/1QqKyyYR6Q21VydFLVH3TRQUabQu_ym0Zz7PgGX0-kHA/edit?usp=sharing"",""แผน!FF81"")"),20)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IFERROR(__xludf.DUMMYFUNCTION("IMPORTRANGE(""https://docs.google.com/spreadsheets/d/1QqKyyYR6Q21VydFLVH3TRQUabQu_ym0Zz7PgGX0-kHA/edit?usp=sharing"",""แผน!FG81"")"),1)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IFERROR(__xludf.DUMMYFUNCTION("IMPORTRANGE(""https://docs.google.com/spreadsheets/d/1QqKyyYR6Q21VydFLVH3TRQUabQu_ym0Zz7PgGX0-kHA/edit?usp=sharing"",""แผน!FH81"")"),0)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10</v>
      </c>
      <c r="J442" s="589">
        <f t="shared" si="195"/>
        <v>10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30</v>
      </c>
      <c r="J443" s="569">
        <f t="shared" si="196"/>
        <v>30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77160</v>
      </c>
      <c r="M444" s="195">
        <f t="shared" ca="1" si="197"/>
        <v>77160</v>
      </c>
      <c r="N444" s="195">
        <f t="shared" si="197"/>
        <v>63190</v>
      </c>
      <c r="O444" s="195">
        <f t="shared" ref="O444:O449" ca="1" si="198">IF(L444&gt;0,N444*100/L444,0)</f>
        <v>81.894764126490415</v>
      </c>
      <c r="P444" s="195">
        <f t="shared" ref="P444:P449" ca="1" si="199">IF(M444&gt;0,N444*100/M444,0)</f>
        <v>81.894764126490415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77160</v>
      </c>
      <c r="M446" s="93">
        <f t="shared" ca="1" si="200"/>
        <v>77160</v>
      </c>
      <c r="N446" s="93">
        <f t="shared" si="200"/>
        <v>63190</v>
      </c>
      <c r="O446" s="93">
        <f t="shared" ca="1" si="198"/>
        <v>81.894764126490415</v>
      </c>
      <c r="P446" s="93">
        <f t="shared" ca="1" si="199"/>
        <v>81.894764126490415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77160</v>
      </c>
      <c r="M447" s="498">
        <f t="shared" ca="1" si="201"/>
        <v>77160</v>
      </c>
      <c r="N447" s="498">
        <f t="shared" si="201"/>
        <v>63190</v>
      </c>
      <c r="O447" s="498">
        <f t="shared" ca="1" si="198"/>
        <v>81.894764126490415</v>
      </c>
      <c r="P447" s="498">
        <f t="shared" ca="1" si="199"/>
        <v>81.894764126490415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IFERROR(__xludf.DUMMYFUNCTION("IMPORTRANGE(""https://docs.google.com/spreadsheets/d/1QqKyyYR6Q21VydFLVH3TRQUabQu_ym0Zz7PgGX0-kHA/edit?usp=sharing"",""แผน!FJ81"")"),77160)</f>
        <v>77160</v>
      </c>
      <c r="M449" s="93">
        <f ca="1">L449</f>
        <v>77160</v>
      </c>
      <c r="N449" s="93">
        <f>N450+N451+N452+N453</f>
        <v>63190</v>
      </c>
      <c r="O449" s="93">
        <f t="shared" ca="1" si="198"/>
        <v>81.894764126490415</v>
      </c>
      <c r="P449" s="93">
        <f t="shared" ca="1" si="199"/>
        <v>81.894764126490415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12880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34000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16310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IFERROR(__xludf.DUMMYFUNCTION("IMPORTRANGE(""https://docs.google.com/spreadsheets/d/1QqKyyYR6Q21VydFLVH3TRQUabQu_ym0Zz7PgGX0-kHA/edit?usp=sharing"",""แผน!FN81"")"),10)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IFERROR(__xludf.DUMMYFUNCTION("IMPORTRANGE(""https://docs.google.com/spreadsheets/d/1QqKyyYR6Q21VydFLVH3TRQUabQu_ym0Zz7PgGX0-kHA/edit?usp=sharing"",""แผน!FO81"")"),30)</f>
        <v>30</v>
      </c>
      <c r="J462" s="215">
        <v>30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IFERROR(__xludf.DUMMYFUNCTION("IMPORTRANGE(""https://docs.google.com/spreadsheets/d/1QqKyyYR6Q21VydFLVH3TRQUabQu_ym0Zz7PgGX0-kHA/edit?usp=sharing"",""แผน!FO81"")"),30)</f>
        <v>30</v>
      </c>
      <c r="J463" s="215">
        <v>30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IFERROR(__xludf.DUMMYFUNCTION("IMPORTRANGE(""https://docs.google.com/spreadsheets/d/1QqKyyYR6Q21VydFLVH3TRQUabQu_ym0Zz7PgGX0-kHA/edit?usp=sharing"",""แผน!FN81"")"),10)</f>
        <v>10</v>
      </c>
      <c r="J464" s="215">
        <v>10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IFERROR(__xludf.DUMMYFUNCTION("IMPORTRANGE(""https://docs.google.com/spreadsheets/d/1QqKyyYR6Q21VydFLVH3TRQUabQu_ym0Zz7PgGX0-kHA/edit?usp=sharing"",""แผน!FX81"")"),41)</f>
        <v>41</v>
      </c>
      <c r="J465" s="589">
        <f>J485+J489+J492</f>
        <v>41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IFERROR(__xludf.DUMMYFUNCTION("IMPORTRANGE(""https://docs.google.com/spreadsheets/d/1QqKyyYR6Q21VydFLVH3TRQUabQu_ym0Zz7PgGX0-kHA/edit?usp=sharing"",""แผน!FW81"")"),400)</f>
        <v>400</v>
      </c>
      <c r="J466" s="569">
        <f>J495+J498</f>
        <v>400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340483</v>
      </c>
      <c r="M467" s="195">
        <f t="shared" ca="1" si="206"/>
        <v>340483</v>
      </c>
      <c r="N467" s="195">
        <f t="shared" si="206"/>
        <v>330870</v>
      </c>
      <c r="O467" s="195">
        <f t="shared" ref="O467:O472" ca="1" si="207">IF(L467&gt;0,N467*100/L467,0)</f>
        <v>97.176657865444085</v>
      </c>
      <c r="P467" s="195">
        <f t="shared" ref="P467:P472" ca="1" si="208">IF(M467&gt;0,N467*100/M467,0)</f>
        <v>97.176657865444085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340483</v>
      </c>
      <c r="M469" s="93">
        <f t="shared" ca="1" si="209"/>
        <v>340483</v>
      </c>
      <c r="N469" s="93">
        <f t="shared" si="209"/>
        <v>330870</v>
      </c>
      <c r="O469" s="93">
        <f t="shared" ca="1" si="207"/>
        <v>97.176657865444085</v>
      </c>
      <c r="P469" s="93">
        <f t="shared" ca="1" si="208"/>
        <v>97.176657865444085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340483</v>
      </c>
      <c r="M470" s="498">
        <f t="shared" ca="1" si="210"/>
        <v>340483</v>
      </c>
      <c r="N470" s="498">
        <f t="shared" si="210"/>
        <v>330870</v>
      </c>
      <c r="O470" s="498">
        <f t="shared" ca="1" si="207"/>
        <v>97.176657865444085</v>
      </c>
      <c r="P470" s="498">
        <f t="shared" ca="1" si="208"/>
        <v>97.176657865444085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IFERROR(__xludf.DUMMYFUNCTION("IMPORTRANGE(""https://docs.google.com/spreadsheets/d/1QqKyyYR6Q21VydFLVH3TRQUabQu_ym0Zz7PgGX0-kHA/edit?usp=sharing"",""แผน!FS81"")"),340483)</f>
        <v>340483</v>
      </c>
      <c r="M472" s="93">
        <f ca="1">L472</f>
        <v>340483</v>
      </c>
      <c r="N472" s="93">
        <f>N473+N474+N475+N476</f>
        <v>330870</v>
      </c>
      <c r="O472" s="93">
        <f t="shared" ca="1" si="207"/>
        <v>97.176657865444085</v>
      </c>
      <c r="P472" s="93">
        <f t="shared" ca="1" si="208"/>
        <v>97.176657865444085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46503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248000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36367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IFERROR(__xludf.DUMMYFUNCTION("IMPORTRANGE(""https://docs.google.com/spreadsheets/d/1QqKyyYR6Q21VydFLVH3TRQUabQu_ym0Zz7PgGX0-kHA/edit?usp=sharing"",""แผน!FY81"")"),360)</f>
        <v>360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IFERROR(__xludf.DUMMYFUNCTION("IMPORTRANGE(""https://docs.google.com/spreadsheets/d/1QqKyyYR6Q21VydFLVH3TRQUabQu_ym0Zz7PgGX0-kHA/edit?usp=sharing"",""แผน!FZ81"")"),36)</f>
        <v>36</v>
      </c>
      <c r="J485" s="215">
        <v>36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IFERROR(__xludf.DUMMYFUNCTION("IMPORTRANGE(""https://docs.google.com/spreadsheets/d/1QqKyyYR6Q21VydFLVH3TRQUabQu_ym0Zz7PgGX0-kHA/edit?usp=sharing"",""แผน!GA81"")"),40)</f>
        <v>40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IFERROR(__xludf.DUMMYFUNCTION("IMPORTRANGE(""https://docs.google.com/spreadsheets/d/1QqKyyYR6Q21VydFLVH3TRQUabQu_ym0Zz7PgGX0-kHA/edit?usp=sharing"",""แผน!GB81"")"),4)</f>
        <v>4</v>
      </c>
      <c r="J489" s="215">
        <v>4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IFERROR(__xludf.DUMMYFUNCTION("IMPORTRANGE(""https://docs.google.com/spreadsheets/d/1QqKyyYR6Q21VydFLVH3TRQUabQu_ym0Zz7PgGX0-kHA/edit?usp=sharing"",""แผน!GC81"")"),1)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IFERROR(__xludf.DUMMYFUNCTION("IMPORTRANGE(""https://docs.google.com/spreadsheets/d/1QqKyyYR6Q21VydFLVH3TRQUabQu_ym0Zz7PgGX0-kHA/edit?usp=sharing"",""แผน!FY81"")"),360)</f>
        <v>360</v>
      </c>
      <c r="J495" s="215">
        <v>360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IFERROR(__xludf.DUMMYFUNCTION("IMPORTRANGE(""https://docs.google.com/spreadsheets/d/1QqKyyYR6Q21VydFLVH3TRQUabQu_ym0Zz7PgGX0-kHA/edit?usp=sharing"",""แผน!GA81"")"),40)</f>
        <v>40</v>
      </c>
      <c r="J498" s="215">
        <v>40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IFERROR(__xludf.DUMMYFUNCTION("IMPORTRANGE(""https://docs.google.com/spreadsheets/d/1QqKyyYR6Q21VydFLVH3TRQUabQu_ym0Zz7PgGX0-kHA/edit?usp=sharing"",""แผน!GU81"")"),0)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IFERROR(__xludf.DUMMYFUNCTION("IMPORTRANGE(""https://docs.google.com/spreadsheets/d/1QqKyyYR6Q21VydFLVH3TRQUabQu_ym0Zz7PgGX0-kHA/edit?usp=sharing"",""แผน!GV81"")"),0)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IFERROR(__xludf.DUMMYFUNCTION("IMPORTRANGE(""https://docs.google.com/spreadsheets/d/1QqKyyYR6Q21VydFLVH3TRQUabQu_ym0Zz7PgGX0-kHA/edit?usp=sharing"",""แผน!GW81"")"),0)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IFERROR(__xludf.DUMMYFUNCTION("IMPORTRANGE(""https://docs.google.com/spreadsheets/d/1QqKyyYR6Q21VydFLVH3TRQUabQu_ym0Zz7PgGX0-kHA/edit?usp=sharing"",""แผน!GX81"")"),0)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IFERROR(__xludf.DUMMYFUNCTION("IMPORTRANGE(""https://docs.google.com/spreadsheets/d/1QqKyyYR6Q21VydFLVH3TRQUabQu_ym0Zz7PgGX0-kHA/edit?usp=sharing"",""แผน!GY81"")"),0)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IFERROR(__xludf.DUMMYFUNCTION("IMPORTRANGE(""https://docs.google.com/spreadsheets/d/1QqKyyYR6Q21VydFLVH3TRQUabQu_ym0Zz7PgGX0-kHA/edit?usp=sharing"",""แผน!GZ81"")"),0)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2360</v>
      </c>
      <c r="J543" s="686">
        <f t="shared" si="235"/>
        <v>2360</v>
      </c>
      <c r="K543" s="687">
        <f t="shared" ca="1" si="234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236443</v>
      </c>
      <c r="M544" s="155">
        <f t="shared" ca="1" si="236"/>
        <v>236443</v>
      </c>
      <c r="N544" s="155">
        <f t="shared" si="236"/>
        <v>108436</v>
      </c>
      <c r="O544" s="155">
        <f t="shared" ref="O544:O549" ca="1" si="237">IF(L544&gt;0,N544*100/L544,0)</f>
        <v>45.861370393710111</v>
      </c>
      <c r="P544" s="155">
        <f t="shared" ref="P544:P549" ca="1" si="238">IF(M544&gt;0,N544*100/M544,0)</f>
        <v>45.861370393710111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236443</v>
      </c>
      <c r="M546" s="93">
        <f t="shared" ca="1" si="240"/>
        <v>236443</v>
      </c>
      <c r="N546" s="93">
        <f t="shared" si="240"/>
        <v>108436</v>
      </c>
      <c r="O546" s="93">
        <f t="shared" ca="1" si="237"/>
        <v>45.861370393710111</v>
      </c>
      <c r="P546" s="93">
        <f t="shared" ca="1" si="238"/>
        <v>45.861370393710111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236443</v>
      </c>
      <c r="M547" s="498">
        <f t="shared" ca="1" si="241"/>
        <v>236443</v>
      </c>
      <c r="N547" s="498">
        <f t="shared" si="241"/>
        <v>108436</v>
      </c>
      <c r="O547" s="498">
        <f t="shared" ca="1" si="237"/>
        <v>45.861370393710111</v>
      </c>
      <c r="P547" s="498">
        <f t="shared" ca="1" si="238"/>
        <v>45.861370393710111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IFERROR(__xludf.DUMMYFUNCTION("IMPORTRANGE(""https://docs.google.com/spreadsheets/d/1QqKyyYR6Q21VydFLVH3TRQUabQu_ym0Zz7PgGX0-kHA/edit?usp=sharing"",""แผน!HB81"")"),236443)</f>
        <v>236443</v>
      </c>
      <c r="M549" s="93">
        <f ca="1">L549</f>
        <v>236443</v>
      </c>
      <c r="N549" s="93">
        <f>N550+N551+N552+N553+N554</f>
        <v>108436</v>
      </c>
      <c r="O549" s="93">
        <f t="shared" ca="1" si="237"/>
        <v>45.861370393710111</v>
      </c>
      <c r="P549" s="93">
        <f t="shared" ca="1" si="238"/>
        <v>45.861370393710111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63268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45168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2360</v>
      </c>
      <c r="J559" s="707">
        <f t="shared" si="245"/>
        <v>2360</v>
      </c>
      <c r="K559" s="676">
        <f t="shared" ref="K559:K561" ca="1" si="246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IFERROR(__xludf.DUMMYFUNCTION("IMPORTRANGE(""https://docs.google.com/spreadsheets/d/1QqKyyYR6Q21VydFLVH3TRQUabQu_ym0Zz7PgGX0-kHA/edit?usp=sharing"",""แผน!HH81"")"),2360)</f>
        <v>2360</v>
      </c>
      <c r="J560" s="193">
        <f t="shared" ref="J560:J561" si="247">J562+J564+J566</f>
        <v>2360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IFERROR(__xludf.DUMMYFUNCTION("IMPORTRANGE(""https://docs.google.com/spreadsheets/d/1QqKyyYR6Q21VydFLVH3TRQUabQu_ym0Zz7PgGX0-kHA/edit?usp=sharing"",""แผน!HG81"")"),339)</f>
        <v>339</v>
      </c>
      <c r="J561" s="193">
        <f t="shared" si="247"/>
        <v>339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2089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276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199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53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72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IFERROR(__xludf.DUMMYFUNCTION("IMPORTRANGE(""https://docs.google.com/spreadsheets/d/1QqKyyYR6Q21VydFLVH3TRQUabQu_ym0Zz7PgGX0-kHA/edit?usp=sharing"",""แผน!HH81"")"),2360)</f>
        <v>2360</v>
      </c>
      <c r="J568" s="680">
        <f t="shared" ref="J568:J569" si="248">J570+J572+J574</f>
        <v>2360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IFERROR(__xludf.DUMMYFUNCTION("IMPORTRANGE(""https://docs.google.com/spreadsheets/d/1QqKyyYR6Q21VydFLVH3TRQUabQu_ym0Zz7PgGX0-kHA/edit?usp=sharing"",""แผน!HG81"")"),339)</f>
        <v>339</v>
      </c>
      <c r="J569" s="680">
        <f t="shared" si="248"/>
        <v>339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2103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278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185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51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72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IFERROR(__xludf.DUMMYFUNCTION("IMPORTRANGE(""https://docs.google.com/spreadsheets/d/1QqKyyYR6Q21VydFLVH3TRQUabQu_ym0Zz7PgGX0-kHA/edit?usp=sharing"",""แผน!HH81"")"),2360)</f>
        <v>2360</v>
      </c>
      <c r="J576" s="680">
        <f t="shared" ref="J576:J577" si="250">J578+J580+J582+J588+J590</f>
        <v>2360</v>
      </c>
      <c r="K576" s="412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IFERROR(__xludf.DUMMYFUNCTION("IMPORTRANGE(""https://docs.google.com/spreadsheets/d/1QqKyyYR6Q21VydFLVH3TRQUabQu_ym0Zz7PgGX0-kHA/edit?usp=sharing"",""แผน!HG81"")"),339)</f>
        <v>339</v>
      </c>
      <c r="J577" s="680">
        <f t="shared" si="250"/>
        <v>339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2096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278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191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51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73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73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217.49</v>
      </c>
      <c r="J592" s="707">
        <f t="shared" si="253"/>
        <v>16</v>
      </c>
      <c r="K592" s="676">
        <f t="shared" ref="K592:K594" ca="1" si="254">IF(I592&gt;0,J592*100/I592,0)</f>
        <v>7.3566600763253476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IFERROR(__xludf.DUMMYFUNCTION("IMPORTRANGE(""https://docs.google.com/spreadsheets/d/1QqKyyYR6Q21VydFLVH3TRQUabQu_ym0Zz7PgGX0-kHA/edit?usp=sharing"",""แผน!HJ81"")"),217.49)</f>
        <v>217.49</v>
      </c>
      <c r="J593" s="193">
        <f t="shared" ref="J593:J594" si="255">J595+J603+J609</f>
        <v>16</v>
      </c>
      <c r="K593" s="412">
        <f t="shared" ca="1" si="254"/>
        <v>7.3566600763253476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IFERROR(__xludf.DUMMYFUNCTION("IMPORTRANGE(""https://docs.google.com/spreadsheets/d/1QqKyyYR6Q21VydFLVH3TRQUabQu_ym0Zz7PgGX0-kHA/edit?usp=sharing"",""แผน!HI81"")"),29)</f>
        <v>29</v>
      </c>
      <c r="J594" s="193">
        <f t="shared" si="255"/>
        <v>8</v>
      </c>
      <c r="K594" s="412">
        <f t="shared" ca="1" si="254"/>
        <v>27.586206896551722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14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3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14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3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2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5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IFERROR(__xludf.DUMMYFUNCTION("IMPORTRANGE(""https://docs.google.com/spreadsheets/d/1QqKyyYR6Q21VydFLVH3TRQUabQu_ym0Zz7PgGX0-kHA/edit?usp=sharing"",""แผน!HL81"")"),10)</f>
        <v>10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IFERROR(__xludf.DUMMYFUNCTION("IMPORTRANGE(""https://docs.google.com/spreadsheets/d/1QqKyyYR6Q21VydFLVH3TRQUabQu_ym0Zz7PgGX0-kHA/edit?usp=sharing"",""แผน!HK81"")"),1)</f>
        <v>1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IFERROR(__xludf.DUMMYFUNCTION("IMPORTRANGE(""https://docs.google.com/spreadsheets/d/1QqKyyYR6Q21VydFLVH3TRQUabQu_ym0Zz7PgGX0-kHA/edit?usp=sharing"",""แผน!HN81"")"),0)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IFERROR(__xludf.DUMMYFUNCTION("IMPORTRANGE(""https://docs.google.com/spreadsheets/d/1QqKyyYR6Q21VydFLVH3TRQUabQu_ym0Zz7PgGX0-kHA/edit?usp=sharing"",""แผน!HR81"")"),0)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IFERROR(__xludf.DUMMYFUNCTION("IMPORTRANGE(""https://docs.google.com/spreadsheets/d/1XWAQStnk-4SwqDmLtmXYiTMKHgktTP8We1SCoS47DrQ/edit?usp=sharing"",""จัดที่ดิน!AS81"")"),0)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IFERROR(__xludf.DUMMYFUNCTION("IMPORTRANGE(""https://docs.google.com/spreadsheets/d/1XWAQStnk-4SwqDmLtmXYiTMKHgktTP8We1SCoS47DrQ/edit?usp=sharing"",""จัดที่ดิน!AT81"")"),0)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IFERROR(__xludf.DUMMYFUNCTION("IMPORTRANGE(""https://docs.google.com/spreadsheets/d/1QqKyyYR6Q21VydFLVH3TRQUabQu_ym0Zz7PgGX0-kHA/edit?usp=sharing"",""แผน!HS81"")"),0)</f>
        <v>0</v>
      </c>
      <c r="J647" s="270">
        <f ca="1">IFERROR(__xludf.DUMMYFUNCTION("IMPORTRANGE(""https://docs.google.com/spreadsheets/d/1XWAQStnk-4SwqDmLtmXYiTMKHgktTP8We1SCoS47DrQ/edit?usp=sharing"",""จัดที่ดิน!AU81"")"),0)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IFERROR(__xludf.DUMMYFUNCTION("IMPORTRANGE(""https://docs.google.com/spreadsheets/d/1XWAQStnk-4SwqDmLtmXYiTMKHgktTP8We1SCoS47DrQ/edit?usp=sharing"",""จัดที่ดิน!AV81"")"),0)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IFERROR(__xludf.DUMMYFUNCTION("IMPORTRANGE(""https://docs.google.com/spreadsheets/d/1QqKyyYR6Q21VydFLVH3TRQUabQu_ym0Zz7PgGX0-kHA/edit?usp=sharing"",""แผน!HS81"")"),0)</f>
        <v>0</v>
      </c>
      <c r="J649" s="270">
        <f ca="1">IFERROR(__xludf.DUMMYFUNCTION("IMPORTRANGE(""https://docs.google.com/spreadsheets/d/1XWAQStnk-4SwqDmLtmXYiTMKHgktTP8We1SCoS47DrQ/edit?usp=sharing"",""จัดที่ดิน!AW81"")"),0)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IFERROR(__xludf.DUMMYFUNCTION("IMPORTRANGE(""https://docs.google.com/spreadsheets/d/1XWAQStnk-4SwqDmLtmXYiTMKHgktTP8We1SCoS47DrQ/edit?usp=sharing"",""จัดที่ดิน!AX81"")"),0)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IFERROR(__xludf.DUMMYFUNCTION("IMPORTRANGE(""https://docs.google.com/spreadsheets/d/1QqKyyYR6Q21VydFLVH3TRQUabQu_ym0Zz7PgGX0-kHA/edit?usp=sharing"",""แผน!HS81"")"),0)</f>
        <v>0</v>
      </c>
      <c r="J651" s="270">
        <f ca="1">IFERROR(__xludf.DUMMYFUNCTION("IMPORTRANGE(""https://docs.google.com/spreadsheets/d/1XWAQStnk-4SwqDmLtmXYiTMKHgktTP8We1SCoS47DrQ/edit?usp=sharing"",""จัดที่ดิน!AY81"")"),0)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IFERROR(__xludf.DUMMYFUNCTION("IMPORTRANGE(""https://docs.google.com/spreadsheets/d/1XWAQStnk-4SwqDmLtmXYiTMKHgktTP8We1SCoS47DrQ/edit?usp=sharing"",""จัดที่ดิน!AZ81"")"),0)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IFERROR(__xludf.DUMMYFUNCTION("IMPORTRANGE(""https://docs.google.com/spreadsheets/d/1QqKyyYR6Q21VydFLVH3TRQUabQu_ym0Zz7PgGX0-kHA/edit?usp=sharing"",""แผน!IA81"")"),0)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IFERROR(__xludf.DUMMYFUNCTION("IMPORTRANGE(""https://docs.google.com/spreadsheets/d/1QqKyyYR6Q21VydFLVH3TRQUabQu_ym0Zz7PgGX0-kHA/edit?usp=sharing"",""แผน!HZ81"")"),0)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IFERROR(__xludf.DUMMYFUNCTION("IMPORTRANGE(""https://docs.google.com/spreadsheets/d/1QqKyyYR6Q21VydFLVH3TRQUabQu_ym0Zz7PgGX0-kHA/edit?usp=sharing"",""แผน!HZ81"")"),0)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IFERROR(__xludf.DUMMYFUNCTION("IMPORTRANGE(""https://docs.google.com/spreadsheets/d/1QqKyyYR6Q21VydFLVH3TRQUabQu_ym0Zz7PgGX0-kHA/edit?usp=sharing"",""แผน!IB81"")"),0)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2000</v>
      </c>
      <c r="M685" s="195">
        <f t="shared" ca="1" si="282"/>
        <v>2000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2000</v>
      </c>
      <c r="M687" s="93">
        <f t="shared" ca="1" si="285"/>
        <v>2000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2000</v>
      </c>
      <c r="M688" s="498">
        <f t="shared" ca="1" si="286"/>
        <v>2000</v>
      </c>
      <c r="N688" s="498">
        <f t="shared" si="286"/>
        <v>0</v>
      </c>
      <c r="O688" s="498">
        <f t="shared" ca="1" si="283"/>
        <v>0</v>
      </c>
      <c r="P688" s="498">
        <f t="shared" ca="1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IFERROR(__xludf.DUMMYFUNCTION("IMPORTRANGE(""https://docs.google.com/spreadsheets/d/1QqKyyYR6Q21VydFLVH3TRQUabQu_ym0Zz7PgGX0-kHA/edit?usp=sharing"",""แผน!HW81"")"),2000)</f>
        <v>2000</v>
      </c>
      <c r="M690" s="93">
        <f ca="1">L690</f>
        <v>2000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IFERROR(__xludf.DUMMYFUNCTION("IMPORTRANGE(""https://docs.google.com/spreadsheets/d/1QqKyyYR6Q21VydFLVH3TRQUabQu_ym0Zz7PgGX0-kHA/edit?usp=sharing"",""แผน!IC81"")"),0)</f>
        <v>0</v>
      </c>
      <c r="J699" s="270">
        <f ca="1">IFERROR(__xludf.DUMMYFUNCTION("IMPORTRANGE(""https://docs.google.com/spreadsheets/d/1XWAQStnk-4SwqDmLtmXYiTMKHgktTP8We1SCoS47DrQ/edit?usp=sharing"",""จัดที่ดิน!BB81"")"),0)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IFERROR(__xludf.DUMMYFUNCTION("IMPORTRANGE(""https://docs.google.com/spreadsheets/d/1QqKyyYR6Q21VydFLVH3TRQUabQu_ym0Zz7PgGX0-kHA/edit?usp=sharing"",""แผน!ID81"")"),0)</f>
        <v>0</v>
      </c>
      <c r="J700" s="270">
        <f ca="1">IFERROR(__xludf.DUMMYFUNCTION("IMPORTRANGE(""https://docs.google.com/spreadsheets/d/1XWAQStnk-4SwqDmLtmXYiTMKHgktTP8We1SCoS47DrQ/edit?usp=sharing"",""จัดที่ดิน!BD81"")"),0)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IFERROR(__xludf.DUMMYFUNCTION("IMPORTRANGE(""https://docs.google.com/spreadsheets/d/1QqKyyYR6Q21VydFLVH3TRQUabQu_ym0Zz7PgGX0-kHA/edit?usp=sharing"",""แผน!IE81"")"),50)</f>
        <v>50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IFERROR(__xludf.DUMMYFUNCTION("IMPORTRANGE(""https://docs.google.com/spreadsheets/d/1QqKyyYR6Q21VydFLVH3TRQUabQu_ym0Zz7PgGX0-kHA/edit?usp=sharing"",""แผน!IF81"")"),0)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IFERROR(__xludf.DUMMYFUNCTION("IMPORTRANGE(""https://docs.google.com/spreadsheets/d/1QqKyyYR6Q21VydFLVH3TRQUabQu_ym0Zz7PgGX0-kHA/edit?usp=sharing"",""แผน!IG81"")"),50)</f>
        <v>50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IFERROR(__xludf.DUMMYFUNCTION("IMPORTRANGE(""https://docs.google.com/spreadsheets/d/1QqKyyYR6Q21VydFLVH3TRQUabQu_ym0Zz7PgGX0-kHA/edit?usp=sharing"",""แผน!IH81"")"),0)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IFERROR(__xludf.DUMMYFUNCTION("IMPORTRANGE(""https://docs.google.com/spreadsheets/d/1XWAQStnk-4SwqDmLtmXYiTMKHgktTP8We1SCoS47DrQ/edit?usp=sharing"",""จัดที่ดิน!BF81"")"),0)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IFERROR(__xludf.DUMMYFUNCTION("IMPORTRANGE(""https://docs.google.com/spreadsheets/d/1XWAQStnk-4SwqDmLtmXYiTMKHgktTP8We1SCoS47DrQ/edit?usp=sharing"",""จัดที่ดิน!BG81"")"),0)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IFERROR(__xludf.DUMMYFUNCTION("IMPORTRANGE(""https://docs.google.com/spreadsheets/d/1QqKyyYR6Q21VydFLVH3TRQUabQu_ym0Zz7PgGX0-kHA/edit?usp=sharing"",""แผน!II81"")"),0)</f>
        <v>0</v>
      </c>
      <c r="J720" s="270">
        <f ca="1">IFERROR(__xludf.DUMMYFUNCTION("IMPORTRANGE(""https://docs.google.com/spreadsheets/d/1XWAQStnk-4SwqDmLtmXYiTMKHgktTP8We1SCoS47DrQ/edit?usp=sharing"",""จัดที่ดิน!BH81"")"),0)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IFERROR(__xludf.DUMMYFUNCTION("IMPORTRANGE(""https://docs.google.com/spreadsheets/d/1QqKyyYR6Q21VydFLVH3TRQUabQu_ym0Zz7PgGX0-kHA/edit?usp=sharing"",""แผน!IJ81"")"),0)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IFERROR(__xludf.DUMMYFUNCTION("IMPORTRANGE(""https://docs.google.com/spreadsheets/d/1QqKyyYR6Q21VydFLVH3TRQUabQu_ym0Zz7PgGX0-kHA/edit?usp=sharing"",""แผน!IK81"")"),0)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IFERROR(__xludf.DUMMYFUNCTION("IMPORTRANGE(""https://docs.google.com/spreadsheets/d/1QqKyyYR6Q21VydFLVH3TRQUabQu_ym0Zz7PgGX0-kHA/edit?usp=sharing"",""แผน!IL81"")"),0)</f>
        <v>0</v>
      </c>
      <c r="J723" s="270">
        <f ca="1">IFERROR(__xludf.DUMMYFUNCTION("IMPORTRANGE(""https://docs.google.com/spreadsheets/d/1XWAQStnk-4SwqDmLtmXYiTMKHgktTP8We1SCoS47DrQ/edit?usp=sharing"",""จัดที่ดิน!BM81"")"),0)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IFERROR(__xludf.DUMMYFUNCTION("IMPORTRANGE(""https://docs.google.com/spreadsheets/d/1XWAQStnk-4SwqDmLtmXYiTMKHgktTP8We1SCoS47DrQ/edit?usp=sharing"",""จัดที่ดิน!BN81"")"),0)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IFERROR(__xludf.DUMMYFUNCTION("IMPORTRANGE(""https://docs.google.com/spreadsheets/d/1QqKyyYR6Q21VydFLVH3TRQUabQu_ym0Zz7PgGX0-kHA/edit?usp=sharing"",""แผน!IM81"")"),0)</f>
        <v>0</v>
      </c>
      <c r="J725" s="270">
        <f ca="1">IFERROR(__xludf.DUMMYFUNCTION("IMPORTRANGE(""https://docs.google.com/spreadsheets/d/1XWAQStnk-4SwqDmLtmXYiTMKHgktTP8We1SCoS47DrQ/edit?usp=sharing"",""จัดที่ดิน!BO81"")"),0)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IFERROR(__xludf.DUMMYFUNCTION("IMPORTRANGE(""https://docs.google.com/spreadsheets/d/1QqKyyYR6Q21VydFLVH3TRQUabQu_ym0Zz7PgGX0-kHA/edit?usp=sharing"",""แผน!IN81"")"),0)</f>
        <v>0</v>
      </c>
      <c r="J726" s="270">
        <f ca="1">IFERROR(__xludf.DUMMYFUNCTION("IMPORTRANGE(""https://docs.google.com/spreadsheets/d/1XWAQStnk-4SwqDmLtmXYiTMKHgktTP8We1SCoS47DrQ/edit?usp=sharing"",""จัดที่ดิน!BR81"")"),0)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IFERROR(__xludf.DUMMYFUNCTION("IMPORTRANGE(""https://docs.google.com/spreadsheets/d/1XWAQStnk-4SwqDmLtmXYiTMKHgktTP8We1SCoS47DrQ/edit?usp=sharing"",""จัดที่ดิน!BS81"")"),0)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IFERROR(__xludf.DUMMYFUNCTION("IMPORTRANGE(""https://docs.google.com/spreadsheets/d/1QqKyyYR6Q21VydFLVH3TRQUabQu_ym0Zz7PgGX0-kHA/edit?usp=sharing"",""แผน!IO81"")"),0)</f>
        <v>0</v>
      </c>
      <c r="J728" s="270">
        <f ca="1">IFERROR(__xludf.DUMMYFUNCTION("IMPORTRANGE(""https://docs.google.com/spreadsheets/d/1XWAQStnk-4SwqDmLtmXYiTMKHgktTP8We1SCoS47DrQ/edit?usp=sharing"",""จัดที่ดิน!BT81"")"),0)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IFERROR(__xludf.DUMMYFUNCTION("IMPORTRANGE(""https://docs.google.com/spreadsheets/d/1QqKyyYR6Q21VydFLVH3TRQUabQu_ym0Zz7PgGX0-kHA/edit?usp=sharing"",""แผน!IP81"")"),0)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IFERROR(__xludf.DUMMYFUNCTION("IMPORTRANGE(""https://docs.google.com/spreadsheets/d/1QqKyyYR6Q21VydFLVH3TRQUabQu_ym0Zz7PgGX0-kHA/edit?usp=sharing"",""แผน!JN81"")"),0)</f>
        <v>0</v>
      </c>
      <c r="J800" s="184">
        <f ca="1">IFERROR(__xludf.DUMMYFUNCTION("IMPORTRANGE(""https://docs.google.com/spreadsheets/d/1MaWodYyGHDf7siQLGxnXhG4mBNTNIuy296niS2xXulU/edit?usp=sharing"",""RTK!H81"")"),0)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IFERROR(__xludf.DUMMYFUNCTION("IMPORTRANGE(""https://docs.google.com/spreadsheets/d/1MaWodYyGHDf7siQLGxnXhG4mBNTNIuy296niS2xXulU/edit?usp=sharing"",""RTK!I81"")"),0)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341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IFERROR(__xludf.DUMMYFUNCTION("IMPORTRANGE(""https://docs.google.com/spreadsheets/d/19vJNZY_5yjcGF2XGBMNZRCAIB0Kwfpjp8YEOfu-bneM/edit?usp=sharing"",""งานกองทุน!D81"")"),1239835.02)</f>
        <v>1239835.02</v>
      </c>
      <c r="J821" s="270">
        <f ca="1">IFERROR(__xludf.DUMMYFUNCTION("IMPORTRANGE(""https://docs.google.com/spreadsheets/d/19vJNZY_5yjcGF2XGBMNZRCAIB0Kwfpjp8YEOfu-bneM/edit?usp=sharing"",""งานกองทุน!F81"")"),1109420.25)</f>
        <v>1109420.25</v>
      </c>
      <c r="K821" s="498">
        <f t="shared" ref="K821:K828" ca="1" si="335">IF(I821&gt;0,J821*100/I821,0)</f>
        <v>89.481280340024597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IFERROR(__xludf.DUMMYFUNCTION("IMPORTRANGE(""https://docs.google.com/spreadsheets/d/19vJNZY_5yjcGF2XGBMNZRCAIB0Kwfpjp8YEOfu-bneM/edit?usp=sharing"",""งานกองทุน!C81"")"),93)</f>
        <v>93</v>
      </c>
      <c r="J822" s="270">
        <f ca="1">IFERROR(__xludf.DUMMYFUNCTION("IMPORTRANGE(""https://docs.google.com/spreadsheets/d/19vJNZY_5yjcGF2XGBMNZRCAIB0Kwfpjp8YEOfu-bneM/edit?usp=sharing"",""งานกองทุน!E81"")"),88)</f>
        <v>88</v>
      </c>
      <c r="K822" s="498">
        <f t="shared" ca="1" si="335"/>
        <v>94.623655913978496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IFERROR(__xludf.DUMMYFUNCTION("IMPORTRANGE(""https://docs.google.com/spreadsheets/d/19vJNZY_5yjcGF2XGBMNZRCAIB0Kwfpjp8YEOfu-bneM/edit?usp=sharing"",""งานกองทุน!I81"")"),263191.16)</f>
        <v>263191.15999999997</v>
      </c>
      <c r="J823" s="270">
        <f ca="1">IFERROR(__xludf.DUMMYFUNCTION("IMPORTRANGE(""https://docs.google.com/spreadsheets/d/19vJNZY_5yjcGF2XGBMNZRCAIB0Kwfpjp8YEOfu-bneM/edit?usp=sharing"",""งานกองทุน!K81"")"),57542.23)</f>
        <v>57542.23</v>
      </c>
      <c r="K823" s="498">
        <f t="shared" ca="1" si="335"/>
        <v>21.86328370603329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IFERROR(__xludf.DUMMYFUNCTION("IMPORTRANGE(""https://docs.google.com/spreadsheets/d/19vJNZY_5yjcGF2XGBMNZRCAIB0Kwfpjp8YEOfu-bneM/edit?usp=sharing"",""งานกองทุน!H81"")"),11)</f>
        <v>11</v>
      </c>
      <c r="J824" s="270">
        <f ca="1">IFERROR(__xludf.DUMMYFUNCTION("IMPORTRANGE(""https://docs.google.com/spreadsheets/d/19vJNZY_5yjcGF2XGBMNZRCAIB0Kwfpjp8YEOfu-bneM/edit?usp=sharing"",""งานกองทุน!J81"")"),6)</f>
        <v>6</v>
      </c>
      <c r="K824" s="498">
        <f t="shared" ca="1" si="335"/>
        <v>54.545454545454547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IFERROR(__xludf.DUMMYFUNCTION("IMPORTRANGE(""https://docs.google.com/spreadsheets/d/19vJNZY_5yjcGF2XGBMNZRCAIB0Kwfpjp8YEOfu-bneM/edit?usp=sharing"",""งานกองทุน!N81"")"),29366.44)</f>
        <v>29366.44</v>
      </c>
      <c r="J825" s="270">
        <f ca="1">IFERROR(__xludf.DUMMYFUNCTION("IMPORTRANGE(""https://docs.google.com/spreadsheets/d/19vJNZY_5yjcGF2XGBMNZRCAIB0Kwfpjp8YEOfu-bneM/edit?usp=sharing"",""งานกองทุน!P81"")"),19474.7)</f>
        <v>19474.7</v>
      </c>
      <c r="K825" s="498">
        <f t="shared" ca="1" si="335"/>
        <v>66.316175879677616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IFERROR(__xludf.DUMMYFUNCTION("IMPORTRANGE(""https://docs.google.com/spreadsheets/d/19vJNZY_5yjcGF2XGBMNZRCAIB0Kwfpjp8YEOfu-bneM/edit?usp=sharing"",""งานกองทุน!M81"")"),51)</f>
        <v>51</v>
      </c>
      <c r="J826" s="270">
        <f ca="1">IFERROR(__xludf.DUMMYFUNCTION("IMPORTRANGE(""https://docs.google.com/spreadsheets/d/19vJNZY_5yjcGF2XGBMNZRCAIB0Kwfpjp8YEOfu-bneM/edit?usp=sharing"",""งานกองทุน!O81"")"),41)</f>
        <v>41</v>
      </c>
      <c r="K826" s="498">
        <f t="shared" ca="1" si="335"/>
        <v>80.392156862745097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IFERROR(__xludf.DUMMYFUNCTION("IMPORTRANGE(""https://docs.google.com/spreadsheets/d/19vJNZY_5yjcGF2XGBMNZRCAIB0Kwfpjp8YEOfu-bneM/edit?usp=sharing"",""งานกองทุน!S81"")"),700000)</f>
        <v>700000</v>
      </c>
      <c r="J827" s="270">
        <f ca="1">IFERROR(__xludf.DUMMYFUNCTION("IMPORTRANGE(""https://docs.google.com/spreadsheets/d/19vJNZY_5yjcGF2XGBMNZRCAIB0Kwfpjp8YEOfu-bneM/edit?usp=sharing"",""งานกองทุน!U81"")"),600000)</f>
        <v>600000</v>
      </c>
      <c r="K827" s="498">
        <f t="shared" ca="1" si="335"/>
        <v>85.714285714285708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IFERROR(__xludf.DUMMYFUNCTION("IMPORTRANGE(""https://docs.google.com/spreadsheets/d/19vJNZY_5yjcGF2XGBMNZRCAIB0Kwfpjp8YEOfu-bneM/edit?usp=sharing"",""งานกองทุน!R81"")"),28)</f>
        <v>28</v>
      </c>
      <c r="J828" s="505">
        <f ca="1">IFERROR(__xludf.DUMMYFUNCTION("IMPORTRANGE(""https://docs.google.com/spreadsheets/d/19vJNZY_5yjcGF2XGBMNZRCAIB0Kwfpjp8YEOfu-bneM/edit?usp=sharing"",""งานกองทุน!T81"")"),15)</f>
        <v>15</v>
      </c>
      <c r="K828" s="506">
        <f t="shared" ca="1" si="335"/>
        <v>53.571428571428569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50B94-114F-4DFE-9A94-36B831064E9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344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354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4673138</v>
      </c>
      <c r="M8" s="22">
        <f t="shared" ca="1" si="0"/>
        <v>4790858</v>
      </c>
      <c r="N8" s="22">
        <f t="shared" ca="1" si="0"/>
        <v>3635015.84</v>
      </c>
      <c r="O8" s="22">
        <f t="shared" ref="O8:O16" ca="1" si="1">IF(L8&gt;0,N8*100/L8,0)</f>
        <v>77.785330542346486</v>
      </c>
      <c r="P8" s="22">
        <f t="shared" ref="P8:P16" ca="1" si="2">IF(M8&gt;0,N8*100/M8,0)</f>
        <v>75.874005032084028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4673138</v>
      </c>
      <c r="M10" s="30">
        <f t="shared" ca="1" si="3"/>
        <v>4790858</v>
      </c>
      <c r="N10" s="30">
        <f t="shared" ca="1" si="3"/>
        <v>3635015.84</v>
      </c>
      <c r="O10" s="30">
        <f t="shared" ca="1" si="1"/>
        <v>77.785330542346486</v>
      </c>
      <c r="P10" s="30">
        <f t="shared" ca="1" si="2"/>
        <v>75.874005032084028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4319138</v>
      </c>
      <c r="M11" s="498">
        <f t="shared" ca="1" si="4"/>
        <v>4436858</v>
      </c>
      <c r="N11" s="498">
        <f t="shared" ca="1" si="4"/>
        <v>3281015.84</v>
      </c>
      <c r="O11" s="498">
        <f t="shared" ca="1" si="1"/>
        <v>75.964598491643471</v>
      </c>
      <c r="P11" s="498">
        <f t="shared" ca="1" si="2"/>
        <v>73.949083788572906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4319138</v>
      </c>
      <c r="M13" s="93">
        <f t="shared" ca="1" si="5"/>
        <v>4436858</v>
      </c>
      <c r="N13" s="93">
        <f t="shared" ca="1" si="5"/>
        <v>3281015.84</v>
      </c>
      <c r="O13" s="93">
        <f t="shared" ca="1" si="1"/>
        <v>75.964598491643471</v>
      </c>
      <c r="P13" s="93">
        <f t="shared" ca="1" si="2"/>
        <v>73.949083788572906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354000</v>
      </c>
      <c r="M14" s="498">
        <f t="shared" ca="1" si="6"/>
        <v>354000</v>
      </c>
      <c r="N14" s="498">
        <f t="shared" ca="1" si="6"/>
        <v>354000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354000</v>
      </c>
      <c r="M16" s="52">
        <f t="shared" ca="1" si="7"/>
        <v>354000</v>
      </c>
      <c r="N16" s="52">
        <f t="shared" ca="1" si="7"/>
        <v>354000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3400530</v>
      </c>
      <c r="M18" s="22">
        <f t="shared" ca="1" si="8"/>
        <v>3518250</v>
      </c>
      <c r="N18" s="22">
        <f t="shared" ca="1" si="8"/>
        <v>2683325.39</v>
      </c>
      <c r="O18" s="22">
        <f t="shared" ref="O18:O26" ca="1" si="9">IF(L18&gt;0,N18*100/L18,0)</f>
        <v>78.909034474037867</v>
      </c>
      <c r="P18" s="22">
        <f t="shared" ref="P18:P26" ca="1" si="10">IF(M18&gt;0,N18*100/M18,0)</f>
        <v>76.268752646912532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3400530</v>
      </c>
      <c r="M20" s="30">
        <f t="shared" ca="1" si="11"/>
        <v>3518250</v>
      </c>
      <c r="N20" s="30">
        <f t="shared" ca="1" si="11"/>
        <v>2683325.39</v>
      </c>
      <c r="O20" s="30">
        <f t="shared" ca="1" si="9"/>
        <v>78.909034474037867</v>
      </c>
      <c r="P20" s="30">
        <f t="shared" ca="1" si="10"/>
        <v>76.268752646912532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3046530</v>
      </c>
      <c r="M21" s="498">
        <f t="shared" ca="1" si="12"/>
        <v>3164250</v>
      </c>
      <c r="N21" s="498">
        <f t="shared" ca="1" si="12"/>
        <v>2329325.39</v>
      </c>
      <c r="O21" s="498">
        <f t="shared" ca="1" si="9"/>
        <v>76.458311259038979</v>
      </c>
      <c r="P21" s="498">
        <f t="shared" ca="1" si="10"/>
        <v>73.613822864817891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3046530</v>
      </c>
      <c r="M23" s="93">
        <f t="shared" ca="1" si="13"/>
        <v>3164250</v>
      </c>
      <c r="N23" s="93">
        <f t="shared" ca="1" si="13"/>
        <v>2329325.39</v>
      </c>
      <c r="O23" s="93">
        <f t="shared" ca="1" si="9"/>
        <v>76.458311259038979</v>
      </c>
      <c r="P23" s="93">
        <f t="shared" ca="1" si="10"/>
        <v>73.613822864817891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354000</v>
      </c>
      <c r="M24" s="498">
        <f t="shared" ca="1" si="14"/>
        <v>354000</v>
      </c>
      <c r="N24" s="498">
        <f t="shared" ca="1" si="14"/>
        <v>354000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354000</v>
      </c>
      <c r="M26" s="52">
        <f t="shared" ca="1" si="15"/>
        <v>354000</v>
      </c>
      <c r="N26" s="52">
        <f t="shared" ca="1" si="15"/>
        <v>354000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1272608</v>
      </c>
      <c r="M28" s="22">
        <f t="shared" ca="1" si="16"/>
        <v>1272608</v>
      </c>
      <c r="N28" s="22">
        <f t="shared" si="16"/>
        <v>951690.45</v>
      </c>
      <c r="O28" s="22">
        <f t="shared" ref="O28:O37" ca="1" si="17">IF(L28&gt;0,N28*100/L28,0)</f>
        <v>74.782686420327394</v>
      </c>
      <c r="P28" s="22">
        <f t="shared" ref="P28:P37" ca="1" si="18">IF(M28&gt;0,N28*100/M28,0)</f>
        <v>74.782686420327394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1272608</v>
      </c>
      <c r="M30" s="30">
        <f t="shared" ca="1" si="19"/>
        <v>1272608</v>
      </c>
      <c r="N30" s="30">
        <f t="shared" si="19"/>
        <v>951690.45</v>
      </c>
      <c r="O30" s="30">
        <f t="shared" ca="1" si="17"/>
        <v>74.782686420327394</v>
      </c>
      <c r="P30" s="30">
        <f t="shared" ca="1" si="18"/>
        <v>74.782686420327394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1272608</v>
      </c>
      <c r="M31" s="498">
        <f t="shared" ca="1" si="20"/>
        <v>1272608</v>
      </c>
      <c r="N31" s="498">
        <f t="shared" si="20"/>
        <v>951690.45</v>
      </c>
      <c r="O31" s="498">
        <f t="shared" ca="1" si="17"/>
        <v>74.782686420327394</v>
      </c>
      <c r="P31" s="498">
        <f t="shared" ca="1" si="18"/>
        <v>74.782686420327394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1272608</v>
      </c>
      <c r="M33" s="93">
        <f t="shared" ca="1" si="21"/>
        <v>1272608</v>
      </c>
      <c r="N33" s="93">
        <f t="shared" si="21"/>
        <v>951690.45</v>
      </c>
      <c r="O33" s="93">
        <f t="shared" ca="1" si="17"/>
        <v>74.782686420327394</v>
      </c>
      <c r="P33" s="93">
        <f t="shared" ca="1" si="18"/>
        <v>74.782686420327394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3400530</v>
      </c>
      <c r="M37" s="858">
        <f t="shared" ca="1" si="24"/>
        <v>3518250</v>
      </c>
      <c r="N37" s="858">
        <f t="shared" ca="1" si="24"/>
        <v>2683325.3899999997</v>
      </c>
      <c r="O37" s="858">
        <f t="shared" ca="1" si="17"/>
        <v>78.909034474037867</v>
      </c>
      <c r="P37" s="858">
        <f t="shared" ca="1" si="18"/>
        <v>76.268752646912517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560900</v>
      </c>
      <c r="M41" s="85">
        <f t="shared" ca="1" si="25"/>
        <v>575360</v>
      </c>
      <c r="N41" s="85">
        <f t="shared" ca="1" si="25"/>
        <v>391750.40000000002</v>
      </c>
      <c r="O41" s="85">
        <f t="shared" ref="O41:O49" ca="1" si="26">IF(L41&gt;0,N41*100/L41,0)</f>
        <v>69.843180602602956</v>
      </c>
      <c r="P41" s="85">
        <f t="shared" ref="P41:P49" ca="1" si="27">IF(M41&gt;0,N41*100/M41,0)</f>
        <v>68.087875417130149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560900</v>
      </c>
      <c r="M43" s="92">
        <f t="shared" ca="1" si="28"/>
        <v>575360</v>
      </c>
      <c r="N43" s="92">
        <f t="shared" ca="1" si="28"/>
        <v>391750.40000000002</v>
      </c>
      <c r="O43" s="92">
        <f t="shared" ca="1" si="26"/>
        <v>69.843180602602956</v>
      </c>
      <c r="P43" s="92">
        <f t="shared" ca="1" si="27"/>
        <v>68.087875417130149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560900</v>
      </c>
      <c r="M44" s="498">
        <f t="shared" ca="1" si="29"/>
        <v>575360</v>
      </c>
      <c r="N44" s="498">
        <f t="shared" ca="1" si="29"/>
        <v>391750.40000000002</v>
      </c>
      <c r="O44" s="498">
        <f t="shared" ca="1" si="26"/>
        <v>69.843180602602956</v>
      </c>
      <c r="P44" s="498">
        <f t="shared" ca="1" si="27"/>
        <v>68.087875417130149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IFERROR(__xludf.DUMMYFUNCTION("IMPORTRANGE(""https://docs.google.com/spreadsheets/d/1MeEWN-I1oV_STSDYn1IFDPWt_1FKiwhDph83XaGc0o0/edit?usp=sharing"",""งบพรบ!M82"")"),560900)</f>
        <v>560900</v>
      </c>
      <c r="M46" s="93">
        <f ca="1">IFERROR(__xludf.DUMMYFUNCTION("IMPORTRANGE(""https://docs.google.com/spreadsheets/d/1MeEWN-I1oV_STSDYn1IFDPWt_1FKiwhDph83XaGc0o0/edit?usp=sharing"",""งบพรบ!R82"")"),575360)</f>
        <v>575360</v>
      </c>
      <c r="N46" s="93">
        <f ca="1">IFERROR(__xludf.DUMMYFUNCTION("IMPORTRANGE(""https://docs.google.com/spreadsheets/d/1MeEWN-I1oV_STSDYn1IFDPWt_1FKiwhDph83XaGc0o0/edit?usp=sharing"",""งบพรบ!T82"")"),391750.4)</f>
        <v>391750.40000000002</v>
      </c>
      <c r="O46" s="93">
        <f t="shared" ca="1" si="26"/>
        <v>69.843180602602956</v>
      </c>
      <c r="P46" s="93">
        <f t="shared" ca="1" si="27"/>
        <v>68.087875417130149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IFERROR(__xludf.DUMMYFUNCTION("IMPORTRANGE(""https://docs.google.com/spreadsheets/d/1MeEWN-I1oV_STSDYn1IFDPWt_1FKiwhDph83XaGc0o0/edit?usp=sharing"",""งบพรบ!P82"")"),0)</f>
        <v>0</v>
      </c>
      <c r="M49" s="52">
        <f ca="1">IFERROR(__xludf.DUMMYFUNCTION("IMPORTRANGE(""https://docs.google.com/spreadsheets/d/1MeEWN-I1oV_STSDYn1IFDPWt_1FKiwhDph83XaGc0o0/edit?usp=sharing"",""งบพรบ!S82"")"),0)</f>
        <v>0</v>
      </c>
      <c r="N49" s="52">
        <f ca="1">IFERROR(__xludf.DUMMYFUNCTION("IMPORTRANGE(""https://docs.google.com/spreadsheets/d/1MeEWN-I1oV_STSDYn1IFDPWt_1FKiwhDph83XaGc0o0/edit?usp=sharing"",""งบพรบ!U82"")"),0)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607300</v>
      </c>
      <c r="M53" s="116">
        <f t="shared" ca="1" si="31"/>
        <v>616800</v>
      </c>
      <c r="N53" s="116">
        <f t="shared" ca="1" si="31"/>
        <v>541611.5</v>
      </c>
      <c r="O53" s="116">
        <f t="shared" ref="O53:O61" ca="1" si="32">IF(L53&gt;0,N53*100/L53,0)</f>
        <v>89.183517207311056</v>
      </c>
      <c r="P53" s="116">
        <f t="shared" ref="P53:P61" ca="1" si="33">IF(M53&gt;0,N53*100/M53,0)</f>
        <v>87.809905966277555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607300</v>
      </c>
      <c r="M55" s="123">
        <f t="shared" ca="1" si="34"/>
        <v>616800</v>
      </c>
      <c r="N55" s="123">
        <f t="shared" ca="1" si="34"/>
        <v>541611.5</v>
      </c>
      <c r="O55" s="123">
        <f t="shared" ca="1" si="32"/>
        <v>89.183517207311056</v>
      </c>
      <c r="P55" s="123">
        <f t="shared" ca="1" si="33"/>
        <v>87.809905966277555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607300</v>
      </c>
      <c r="M56" s="498">
        <f t="shared" ca="1" si="35"/>
        <v>616800</v>
      </c>
      <c r="N56" s="498">
        <f t="shared" ca="1" si="35"/>
        <v>541611.5</v>
      </c>
      <c r="O56" s="498">
        <f t="shared" ca="1" si="32"/>
        <v>89.183517207311056</v>
      </c>
      <c r="P56" s="498">
        <f t="shared" ca="1" si="33"/>
        <v>87.809905966277555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IFERROR(__xludf.DUMMYFUNCTION("IMPORTRANGE(""https://docs.google.com/spreadsheets/d/1MeEWN-I1oV_STSDYn1IFDPWt_1FKiwhDph83XaGc0o0/edit?usp=sharing"",""งบพรบ!W82"")"),607300)</f>
        <v>607300</v>
      </c>
      <c r="M58" s="93">
        <f ca="1">IFERROR(__xludf.DUMMYFUNCTION("IMPORTRANGE(""https://docs.google.com/spreadsheets/d/1MeEWN-I1oV_STSDYn1IFDPWt_1FKiwhDph83XaGc0o0/edit?usp=sharing"",""งบพรบ!AB82"")"),616800)</f>
        <v>616800</v>
      </c>
      <c r="N58" s="93">
        <f ca="1">IFERROR(__xludf.DUMMYFUNCTION("IMPORTRANGE(""https://docs.google.com/spreadsheets/d/1MeEWN-I1oV_STSDYn1IFDPWt_1FKiwhDph83XaGc0o0/edit?usp=sharing"",""งบพรบ!AD82"")"),541611.5)</f>
        <v>541611.5</v>
      </c>
      <c r="O58" s="93">
        <f t="shared" ca="1" si="32"/>
        <v>89.183517207311056</v>
      </c>
      <c r="P58" s="93">
        <f t="shared" ca="1" si="33"/>
        <v>87.809905966277555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IFERROR(__xludf.DUMMYFUNCTION("IMPORTRANGE(""https://docs.google.com/spreadsheets/d/1MeEWN-I1oV_STSDYn1IFDPWt_1FKiwhDph83XaGc0o0/edit?usp=sharing"",""งบพรบ!Z82"")"),0)</f>
        <v>0</v>
      </c>
      <c r="M61" s="52">
        <f ca="1">IFERROR(__xludf.DUMMYFUNCTION("IMPORTRANGE(""https://docs.google.com/spreadsheets/d/1MeEWN-I1oV_STSDYn1IFDPWt_1FKiwhDph83XaGc0o0/edit?usp=sharing"",""งบพรบ!AC82"")"),0)</f>
        <v>0</v>
      </c>
      <c r="N61" s="52">
        <f ca="1">IFERROR(__xludf.DUMMYFUNCTION("IMPORTRANGE(""https://docs.google.com/spreadsheets/d/1MeEWN-I1oV_STSDYn1IFDPWt_1FKiwhDph83XaGc0o0/edit?usp=sharing"",""งบพรบ!AE82"")"),0)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916200</v>
      </c>
      <c r="M66" s="155">
        <f t="shared" ca="1" si="39"/>
        <v>916200</v>
      </c>
      <c r="N66" s="155">
        <f t="shared" ca="1" si="39"/>
        <v>679741.32</v>
      </c>
      <c r="O66" s="155">
        <f t="shared" ref="O66:O74" ca="1" si="40">IF(L66&gt;0,N66*100/L66,0)</f>
        <v>74.191368696791088</v>
      </c>
      <c r="P66" s="155">
        <f t="shared" ref="P66:P74" ca="1" si="41">IF(M66&gt;0,N66*100/M66,0)</f>
        <v>74.191368696791088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916200</v>
      </c>
      <c r="M68" s="93">
        <f t="shared" ca="1" si="42"/>
        <v>916200</v>
      </c>
      <c r="N68" s="93">
        <f t="shared" ca="1" si="42"/>
        <v>679741.32</v>
      </c>
      <c r="O68" s="93">
        <f t="shared" ca="1" si="40"/>
        <v>74.191368696791088</v>
      </c>
      <c r="P68" s="93">
        <f t="shared" ca="1" si="41"/>
        <v>74.191368696791088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916200</v>
      </c>
      <c r="M69" s="498">
        <f t="shared" ca="1" si="43"/>
        <v>916200</v>
      </c>
      <c r="N69" s="498">
        <f t="shared" ca="1" si="43"/>
        <v>679741.32</v>
      </c>
      <c r="O69" s="498">
        <f t="shared" ca="1" si="40"/>
        <v>74.191368696791088</v>
      </c>
      <c r="P69" s="498">
        <f t="shared" ca="1" si="41"/>
        <v>74.191368696791088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IFERROR(__xludf.DUMMYFUNCTION("IMPORTRANGE(""https://docs.google.com/spreadsheets/d/1MeEWN-I1oV_STSDYn1IFDPWt_1FKiwhDph83XaGc0o0/edit?usp=sharing"",""งบพรบ!AG82"")"),916200)</f>
        <v>916200</v>
      </c>
      <c r="M71" s="93">
        <f ca="1">IFERROR(__xludf.DUMMYFUNCTION("IMPORTRANGE(""https://docs.google.com/spreadsheets/d/1MeEWN-I1oV_STSDYn1IFDPWt_1FKiwhDph83XaGc0o0/edit?usp=sharing"",""งบพรบ!AL82"")"),916200)</f>
        <v>916200</v>
      </c>
      <c r="N71" s="93">
        <f ca="1">IFERROR(__xludf.DUMMYFUNCTION("IMPORTRANGE(""https://docs.google.com/spreadsheets/d/1MeEWN-I1oV_STSDYn1IFDPWt_1FKiwhDph83XaGc0o0/edit?usp=sharing"",""งบพรบ!AN82"")"),679741.32)</f>
        <v>679741.32</v>
      </c>
      <c r="O71" s="93">
        <f t="shared" ca="1" si="40"/>
        <v>74.191368696791088</v>
      </c>
      <c r="P71" s="93">
        <f t="shared" ca="1" si="41"/>
        <v>74.191368696791088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IFERROR(__xludf.DUMMYFUNCTION("IMPORTRANGE(""https://docs.google.com/spreadsheets/d/1MeEWN-I1oV_STSDYn1IFDPWt_1FKiwhDph83XaGc0o0/edit?usp=sharing"",""งบพรบ!AJ82"")"),0)</f>
        <v>0</v>
      </c>
      <c r="M74" s="93">
        <f ca="1">IFERROR(__xludf.DUMMYFUNCTION("IMPORTRANGE(""https://docs.google.com/spreadsheets/d/1MeEWN-I1oV_STSDYn1IFDPWt_1FKiwhDph83XaGc0o0/edit?usp=sharing"",""งบพรบ!AM82"")"),0)</f>
        <v>0</v>
      </c>
      <c r="N74" s="93">
        <f ca="1">IFERROR(__xludf.DUMMYFUNCTION("IMPORTRANGE(""https://docs.google.com/spreadsheets/d/1MeEWN-I1oV_STSDYn1IFDPWt_1FKiwhDph83XaGc0o0/edit?usp=sharing"",""งบพรบ!AO82"")"),0)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IFERROR(__xludf.DUMMYFUNCTION("IMPORTRANGE(""https://docs.google.com/spreadsheets/d/1QqKyyYR6Q21VydFLVH3TRQUabQu_ym0Zz7PgGX0-kHA/edit?usp=sharing"",""แผน!F82"")"),1)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IFERROR(__xludf.DUMMYFUNCTION("IMPORTRANGE(""https://docs.google.com/spreadsheets/d/1QqKyyYR6Q21VydFLVH3TRQUabQu_ym0Zz7PgGX0-kHA/edit?usp=sharing"",""แผน!G82"")"),30)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IFERROR(__xludf.DUMMYFUNCTION("IMPORTRANGE(""https://docs.google.com/spreadsheets/d/1QqKyyYR6Q21VydFLVH3TRQUabQu_ym0Zz7PgGX0-kHA/edit?usp=sharing"",""แผน!J82"")"),1)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86340</v>
      </c>
      <c r="M88" s="155">
        <f t="shared" ca="1" si="49"/>
        <v>86340</v>
      </c>
      <c r="N88" s="155">
        <f t="shared" ca="1" si="49"/>
        <v>86340</v>
      </c>
      <c r="O88" s="155">
        <f t="shared" ref="O88:O96" ca="1" si="50">IF(L88&gt;0,N88*100/L88,0)</f>
        <v>100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86340</v>
      </c>
      <c r="M90" s="93">
        <f t="shared" ca="1" si="52"/>
        <v>86340</v>
      </c>
      <c r="N90" s="93">
        <f t="shared" ca="1" si="52"/>
        <v>86340</v>
      </c>
      <c r="O90" s="93">
        <f t="shared" ca="1" si="50"/>
        <v>100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86340</v>
      </c>
      <c r="M91" s="498">
        <f t="shared" ca="1" si="53"/>
        <v>86340</v>
      </c>
      <c r="N91" s="498">
        <f t="shared" ca="1" si="53"/>
        <v>86340</v>
      </c>
      <c r="O91" s="498">
        <f t="shared" ca="1" si="50"/>
        <v>100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IFERROR(__xludf.DUMMYFUNCTION("IMPORTRANGE(""https://docs.google.com/spreadsheets/d/1MeEWN-I1oV_STSDYn1IFDPWt_1FKiwhDph83XaGc0o0/edit?usp=sharing"",""งบพรบ!AQ82"")"),86340)</f>
        <v>86340</v>
      </c>
      <c r="M93" s="93">
        <f ca="1">IFERROR(__xludf.DUMMYFUNCTION("IMPORTRANGE(""https://docs.google.com/spreadsheets/d/1MeEWN-I1oV_STSDYn1IFDPWt_1FKiwhDph83XaGc0o0/edit?usp=sharing"",""งบพรบ!AV82"")"),86340)</f>
        <v>86340</v>
      </c>
      <c r="N93" s="93">
        <f ca="1">IFERROR(__xludf.DUMMYFUNCTION("IMPORTRANGE(""https://docs.google.com/spreadsheets/d/1MeEWN-I1oV_STSDYn1IFDPWt_1FKiwhDph83XaGc0o0/edit?usp=sharing"",""งบพรบ!AX82"")"),86340)</f>
        <v>86340</v>
      </c>
      <c r="O93" s="93">
        <f t="shared" ca="1" si="50"/>
        <v>100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IFERROR(__xludf.DUMMYFUNCTION("IMPORTRANGE(""https://docs.google.com/spreadsheets/d/1MeEWN-I1oV_STSDYn1IFDPWt_1FKiwhDph83XaGc0o0/edit?usp=sharing"",""งบพรบ!AT82"")"),0)</f>
        <v>0</v>
      </c>
      <c r="M96" s="93">
        <f ca="1">IFERROR(__xludf.DUMMYFUNCTION("IMPORTRANGE(""https://docs.google.com/spreadsheets/d/1MeEWN-I1oV_STSDYn1IFDPWt_1FKiwhDph83XaGc0o0/edit?usp=sharing"",""งบพรบ!AW82"")"),0)</f>
        <v>0</v>
      </c>
      <c r="N96" s="93">
        <f ca="1">IFERROR(__xludf.DUMMYFUNCTION("IMPORTRANGE(""https://docs.google.com/spreadsheets/d/1MeEWN-I1oV_STSDYn1IFDPWt_1FKiwhDph83XaGc0o0/edit?usp=sharing"",""งบพรบ!AY82"")"),0)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IFERROR(__xludf.DUMMYFUNCTION("IMPORTRANGE(""https://docs.google.com/spreadsheets/d/1QqKyyYR6Q21VydFLVH3TRQUabQu_ym0Zz7PgGX0-kHA/edit?usp=sharing"",""แผน!K82"")"),30)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IFERROR(__xludf.DUMMYFUNCTION("IMPORTRANGE(""https://docs.google.com/spreadsheets/d/1QqKyyYR6Q21VydFLVH3TRQUabQu_ym0Zz7PgGX0-kHA/edit?usp=sharing"",""แผน!L82"")"),10)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IFERROR(__xludf.DUMMYFUNCTION("IMPORTRANGE(""https://docs.google.com/spreadsheets/d/1QqKyyYR6Q21VydFLVH3TRQUabQu_ym0Zz7PgGX0-kHA/edit?usp=sharing"",""แผน!M82"")"),2)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IFERROR(__xludf.DUMMYFUNCTION("IMPORTRANGE(""https://docs.google.com/spreadsheets/d/1QqKyyYR6Q21VydFLVH3TRQUabQu_ym0Zz7PgGX0-kHA/edit?usp=sharing"",""แผน!N82"")"),30)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IFERROR(__xludf.DUMMYFUNCTION("IMPORTRANGE(""https://docs.google.com/spreadsheets/d/1QqKyyYR6Q21VydFLVH3TRQUabQu_ym0Zz7PgGX0-kHA/edit?usp=sharing"",""แผน!O82"")"),10)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IFERROR(__xludf.DUMMYFUNCTION("IMPORTRANGE(""https://docs.google.com/spreadsheets/d/1QqKyyYR6Q21VydFLVH3TRQUabQu_ym0Zz7PgGX0-kHA/edit?usp=sharing"",""แผน!O82"")"),10)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IFERROR(__xludf.DUMMYFUNCTION("IMPORTRANGE(""https://docs.google.com/spreadsheets/d/1QqKyyYR6Q21VydFLVH3TRQUabQu_ym0Zz7PgGX0-kHA/edit?usp=sharing"",""แผน!P82"")"),1)</f>
        <v>1</v>
      </c>
      <c r="J106" s="898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IFERROR(__xludf.DUMMYFUNCTION("IMPORTRANGE(""https://docs.google.com/spreadsheets/d/1QqKyyYR6Q21VydFLVH3TRQUabQu_ym0Zz7PgGX0-kHA/edit?usp=sharing"",""แผน!P82"")"),1)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IFERROR(__xludf.DUMMYFUNCTION("IMPORTRANGE(""https://docs.google.com/spreadsheets/d/1QqKyyYR6Q21VydFLVH3TRQUabQu_ym0Zz7PgGX0-kHA/edit?usp=sharing"",""แผน!Q82"")"),1)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IFERROR(__xludf.DUMMYFUNCTION("IMPORTRANGE(""https://docs.google.com/spreadsheets/d/1QqKyyYR6Q21VydFLVH3TRQUabQu_ym0Zz7PgGX0-kHA/edit?usp=sharing"",""แผน!Q82"")"),1)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IFERROR(__xludf.DUMMYFUNCTION("IMPORTRANGE(""https://docs.google.com/spreadsheets/d/1QqKyyYR6Q21VydFLVH3TRQUabQu_ym0Zz7PgGX0-kHA/edit?usp=sharing"",""แผน!R82"")"),10)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IFERROR(__xludf.DUMMYFUNCTION("IMPORTRANGE(""https://docs.google.com/spreadsheets/d/1QqKyyYR6Q21VydFLVH3TRQUabQu_ym0Zz7PgGX0-kHA/edit?usp=sharing"",""แผน!R82"")"),10)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IFERROR(__xludf.DUMMYFUNCTION("IMPORTRANGE(""https://docs.google.com/spreadsheets/d/1QqKyyYR6Q21VydFLVH3TRQUabQu_ym0Zz7PgGX0-kHA/edit?usp=sharing"",""แผน!R82"")"),10)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IFERROR(__xludf.DUMMYFUNCTION("IMPORTRANGE(""https://docs.google.com/spreadsheets/d/1QqKyyYR6Q21VydFLVH3TRQUabQu_ym0Zz7PgGX0-kHA/edit?usp=sharing"",""แผน!S82"")"),1)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IFERROR(__xludf.DUMMYFUNCTION("IMPORTRANGE(""https://docs.google.com/spreadsheets/d/1QqKyyYR6Q21VydFLVH3TRQUabQu_ym0Zz7PgGX0-kHA/edit?usp=sharing"",""แผน!T82"")"),1)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IFERROR(__xludf.DUMMYFUNCTION("IMPORTRANGE(""https://docs.google.com/spreadsheets/d/1MeEWN-I1oV_STSDYn1IFDPWt_1FKiwhDph83XaGc0o0/edit?usp=sharing"",""งบพรบ!BA82"")"),0)</f>
        <v>0</v>
      </c>
      <c r="M124" s="93">
        <f ca="1">IFERROR(__xludf.DUMMYFUNCTION("IMPORTRANGE(""https://docs.google.com/spreadsheets/d/1MeEWN-I1oV_STSDYn1IFDPWt_1FKiwhDph83XaGc0o0/edit?usp=sharing"",""งบพรบ!BF82"")"),0)</f>
        <v>0</v>
      </c>
      <c r="N124" s="93">
        <f ca="1">IFERROR(__xludf.DUMMYFUNCTION("IMPORTRANGE(""https://docs.google.com/spreadsheets/d/1MeEWN-I1oV_STSDYn1IFDPWt_1FKiwhDph83XaGc0o0/edit?usp=sharing"",""งบพรบ!BH82"")"),0)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IFERROR(__xludf.DUMMYFUNCTION("IMPORTRANGE(""https://docs.google.com/spreadsheets/d/1MeEWN-I1oV_STSDYn1IFDPWt_1FKiwhDph83XaGc0o0/edit?usp=sharing"",""งบพรบ!BD82"")"),0)</f>
        <v>0</v>
      </c>
      <c r="M127" s="93">
        <f ca="1">IFERROR(__xludf.DUMMYFUNCTION("IMPORTRANGE(""https://docs.google.com/spreadsheets/d/1MeEWN-I1oV_STSDYn1IFDPWt_1FKiwhDph83XaGc0o0/edit?usp=sharing"",""งบพรบ!BG82"")"),0)</f>
        <v>0</v>
      </c>
      <c r="N127" s="93">
        <f ca="1">IFERROR(__xludf.DUMMYFUNCTION("IMPORTRANGE(""https://docs.google.com/spreadsheets/d/1MeEWN-I1oV_STSDYn1IFDPWt_1FKiwhDph83XaGc0o0/edit?usp=sharing"",""งบพรบ!BI82"")"),0)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454965</v>
      </c>
      <c r="M132" s="155">
        <f t="shared" ca="1" si="69"/>
        <v>454965</v>
      </c>
      <c r="N132" s="155">
        <f t="shared" ca="1" si="69"/>
        <v>415621</v>
      </c>
      <c r="O132" s="155">
        <f t="shared" ref="O132:O140" ca="1" si="70">IF(L132&gt;0,N132*100/L132,0)</f>
        <v>91.35230182541514</v>
      </c>
      <c r="P132" s="155">
        <f t="shared" ref="P132:P140" ca="1" si="71">IF(M132&gt;0,N132*100/M132,0)</f>
        <v>91.35230182541514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454965</v>
      </c>
      <c r="M134" s="93">
        <f t="shared" ca="1" si="72"/>
        <v>454965</v>
      </c>
      <c r="N134" s="93">
        <f t="shared" ca="1" si="72"/>
        <v>415621</v>
      </c>
      <c r="O134" s="93">
        <f t="shared" ca="1" si="70"/>
        <v>91.35230182541514</v>
      </c>
      <c r="P134" s="93">
        <f t="shared" ca="1" si="71"/>
        <v>91.35230182541514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145965</v>
      </c>
      <c r="M135" s="498">
        <f t="shared" ca="1" si="73"/>
        <v>145965</v>
      </c>
      <c r="N135" s="498">
        <f t="shared" ca="1" si="73"/>
        <v>106621</v>
      </c>
      <c r="O135" s="498">
        <f t="shared" ca="1" si="70"/>
        <v>73.045593121638746</v>
      </c>
      <c r="P135" s="498">
        <f t="shared" ca="1" si="71"/>
        <v>73.045593121638746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IFERROR(__xludf.DUMMYFUNCTION("IMPORTRANGE(""https://docs.google.com/spreadsheets/d/1MeEWN-I1oV_STSDYn1IFDPWt_1FKiwhDph83XaGc0o0/edit?usp=sharing"",""งบพรบ!BK82"")"),145965)</f>
        <v>145965</v>
      </c>
      <c r="M137" s="93">
        <f ca="1">IFERROR(__xludf.DUMMYFUNCTION("IMPORTRANGE(""https://docs.google.com/spreadsheets/d/1MeEWN-I1oV_STSDYn1IFDPWt_1FKiwhDph83XaGc0o0/edit?usp=sharing"",""งบพรบ!BP82"")"),145965)</f>
        <v>145965</v>
      </c>
      <c r="N137" s="93">
        <f ca="1">IFERROR(__xludf.DUMMYFUNCTION("IMPORTRANGE(""https://docs.google.com/spreadsheets/d/1MeEWN-I1oV_STSDYn1IFDPWt_1FKiwhDph83XaGc0o0/edit?usp=sharing"",""งบพรบ!BR82"")"),106621)</f>
        <v>106621</v>
      </c>
      <c r="O137" s="93">
        <f t="shared" ca="1" si="70"/>
        <v>73.045593121638746</v>
      </c>
      <c r="P137" s="93">
        <f t="shared" ca="1" si="71"/>
        <v>73.045593121638746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309000</v>
      </c>
      <c r="M138" s="498">
        <f t="shared" ca="1" si="74"/>
        <v>309000</v>
      </c>
      <c r="N138" s="498">
        <f t="shared" ca="1" si="74"/>
        <v>309000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IFERROR(__xludf.DUMMYFUNCTION("IMPORTRANGE(""https://docs.google.com/spreadsheets/d/1MeEWN-I1oV_STSDYn1IFDPWt_1FKiwhDph83XaGc0o0/edit?usp=sharing"",""งบพรบ!BN82"")"),309000)</f>
        <v>309000</v>
      </c>
      <c r="M140" s="93">
        <f ca="1">IFERROR(__xludf.DUMMYFUNCTION("IMPORTRANGE(""https://docs.google.com/spreadsheets/d/1MeEWN-I1oV_STSDYn1IFDPWt_1FKiwhDph83XaGc0o0/edit?usp=sharing"",""งบพรบ!BQ82"")"),309000)</f>
        <v>309000</v>
      </c>
      <c r="N140" s="93">
        <f ca="1">IFERROR(__xludf.DUMMYFUNCTION("IMPORTRANGE(""https://docs.google.com/spreadsheets/d/1MeEWN-I1oV_STSDYn1IFDPWt_1FKiwhDph83XaGc0o0/edit?usp=sharing"",""งบพรบ!BS82"")"),309000)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IFERROR(__xludf.DUMMYFUNCTION("IMPORTRANGE(""https://docs.google.com/spreadsheets/d/1QqKyyYR6Q21VydFLVH3TRQUabQu_ym0Zz7PgGX0-kHA/edit?usp=sharing"",""แผน!U82"")"),15)</f>
        <v>15</v>
      </c>
      <c r="J144" s="215">
        <v>15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IFERROR(__xludf.DUMMYFUNCTION("IMPORTRANGE(""https://docs.google.com/spreadsheets/d/1QqKyyYR6Q21VydFLVH3TRQUabQu_ym0Zz7PgGX0-kHA/edit?usp=sharing"",""แผน!V82"")"),30)</f>
        <v>30</v>
      </c>
      <c r="J145" s="215">
        <v>30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IFERROR(__xludf.DUMMYFUNCTION("IMPORTRANGE(""https://docs.google.com/spreadsheets/d/1QqKyyYR6Q21VydFLVH3TRQUabQu_ym0Zz7PgGX0-kHA/edit?usp=sharing"",""แผน!W82"")"),3)</f>
        <v>3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IFERROR(__xludf.DUMMYFUNCTION("IMPORTRANGE(""https://docs.google.com/spreadsheets/d/1MeEWN-I1oV_STSDYn1IFDPWt_1FKiwhDph83XaGc0o0/edit?usp=sharing"",""งบพรบ!BU82"")"),0)</f>
        <v>0</v>
      </c>
      <c r="M154" s="93">
        <f ca="1">IFERROR(__xludf.DUMMYFUNCTION("IMPORTRANGE(""https://docs.google.com/spreadsheets/d/1MeEWN-I1oV_STSDYn1IFDPWt_1FKiwhDph83XaGc0o0/edit?usp=sharing"",""งบพรบ!BZ82"")"),0)</f>
        <v>0</v>
      </c>
      <c r="N154" s="93">
        <f ca="1">IFERROR(__xludf.DUMMYFUNCTION("IMPORTRANGE(""https://docs.google.com/spreadsheets/d/1MeEWN-I1oV_STSDYn1IFDPWt_1FKiwhDph83XaGc0o0/edit?usp=sharing"",""งบพรบ!CB82"")"),0)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IFERROR(__xludf.DUMMYFUNCTION("IMPORTRANGE(""https://docs.google.com/spreadsheets/d/1MeEWN-I1oV_STSDYn1IFDPWt_1FKiwhDph83XaGc0o0/edit?usp=sharing"",""งบพรบ!BX82"")"),0)</f>
        <v>0</v>
      </c>
      <c r="M157" s="93">
        <f ca="1">IFERROR(__xludf.DUMMYFUNCTION("IMPORTRANGE(""https://docs.google.com/spreadsheets/d/1MeEWN-I1oV_STSDYn1IFDPWt_1FKiwhDph83XaGc0o0/edit?usp=sharing"",""งบพรบ!CA82"")"),0)</f>
        <v>0</v>
      </c>
      <c r="N157" s="93">
        <f ca="1">IFERROR(__xludf.DUMMYFUNCTION("IMPORTRANGE(""https://docs.google.com/spreadsheets/d/1MeEWN-I1oV_STSDYn1IFDPWt_1FKiwhDph83XaGc0o0/edit?usp=sharing"",""งบพรบ!CC82"")"),0)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IFERROR(__xludf.DUMMYFUNCTION("IMPORTRANGE(""https://docs.google.com/spreadsheets/d/1QqKyyYR6Q21VydFLVH3TRQUabQu_ym0Zz7PgGX0-kHA/edit?usp=sharing"",""แผน!X82"")"),0)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22055</v>
      </c>
      <c r="M165" s="155">
        <f t="shared" ca="1" si="84"/>
        <v>39375</v>
      </c>
      <c r="N165" s="155">
        <f t="shared" ca="1" si="84"/>
        <v>39375</v>
      </c>
      <c r="O165" s="155">
        <f t="shared" ref="O165:O173" ca="1" si="85">IF(L165&gt;0,N165*100/L165,0)</f>
        <v>178.53094536386308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22055</v>
      </c>
      <c r="M167" s="93">
        <f t="shared" ca="1" si="87"/>
        <v>39375</v>
      </c>
      <c r="N167" s="93">
        <f t="shared" ca="1" si="87"/>
        <v>39375</v>
      </c>
      <c r="O167" s="93">
        <f t="shared" ca="1" si="85"/>
        <v>178.53094536386308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39375</v>
      </c>
      <c r="N168" s="498">
        <f t="shared" ca="1" si="88"/>
        <v>39375</v>
      </c>
      <c r="O168" s="498">
        <f t="shared" ca="1" si="85"/>
        <v>178.53094536386308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IFERROR(__xludf.DUMMYFUNCTION("IMPORTRANGE(""https://docs.google.com/spreadsheets/d/1MeEWN-I1oV_STSDYn1IFDPWt_1FKiwhDph83XaGc0o0/edit?usp=sharing"",""งบพรบ!CE82"")"),22055)</f>
        <v>22055</v>
      </c>
      <c r="M170" s="93">
        <f ca="1">IFERROR(__xludf.DUMMYFUNCTION("IMPORTRANGE(""https://docs.google.com/spreadsheets/d/1MeEWN-I1oV_STSDYn1IFDPWt_1FKiwhDph83XaGc0o0/edit?usp=sharing"",""งบพรบ!CJ82"")"),39375)</f>
        <v>39375</v>
      </c>
      <c r="N170" s="93">
        <f ca="1">IFERROR(__xludf.DUMMYFUNCTION("IMPORTRANGE(""https://docs.google.com/spreadsheets/d/1MeEWN-I1oV_STSDYn1IFDPWt_1FKiwhDph83XaGc0o0/edit?usp=sharing"",""งบพรบ!CL82"")"),39375)</f>
        <v>39375</v>
      </c>
      <c r="O170" s="93">
        <f t="shared" ca="1" si="85"/>
        <v>178.53094536386308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IFERROR(__xludf.DUMMYFUNCTION("IMPORTRANGE(""https://docs.google.com/spreadsheets/d/1MeEWN-I1oV_STSDYn1IFDPWt_1FKiwhDph83XaGc0o0/edit?usp=sharing"",""งบพรบ!CH82"")"),0)</f>
        <v>0</v>
      </c>
      <c r="M173" s="93">
        <f ca="1">IFERROR(__xludf.DUMMYFUNCTION("IMPORTRANGE(""https://docs.google.com/spreadsheets/d/1MeEWN-I1oV_STSDYn1IFDPWt_1FKiwhDph83XaGc0o0/edit?usp=sharing"",""งบพรบ!CK82"")"),0)</f>
        <v>0</v>
      </c>
      <c r="N173" s="93">
        <f ca="1">IFERROR(__xludf.DUMMYFUNCTION("IMPORTRANGE(""https://docs.google.com/spreadsheets/d/1MeEWN-I1oV_STSDYn1IFDPWt_1FKiwhDph83XaGc0o0/edit?usp=sharing"",""งบพรบ!CM82"")"),0)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IFERROR(__xludf.DUMMYFUNCTION("IMPORTRANGE(""https://docs.google.com/spreadsheets/d/1QqKyyYR6Q21VydFLVH3TRQUabQu_ym0Zz7PgGX0-kHA/edit?usp=sharing"",""แผน!Y82"")"),11)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38500</v>
      </c>
      <c r="M181" s="155">
        <f t="shared" ca="1" si="92"/>
        <v>57440</v>
      </c>
      <c r="N181" s="155">
        <f t="shared" ca="1" si="92"/>
        <v>44938</v>
      </c>
      <c r="O181" s="155">
        <f t="shared" ref="O181:O189" ca="1" si="93">IF(L181&gt;0,N181*100/L181,0)</f>
        <v>116.72207792207791</v>
      </c>
      <c r="P181" s="155">
        <f t="shared" ref="P181:P189" ca="1" si="94">IF(M181&gt;0,N181*100/M181,0)</f>
        <v>78.234679665738156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38500</v>
      </c>
      <c r="M183" s="93">
        <f t="shared" ca="1" si="95"/>
        <v>57440</v>
      </c>
      <c r="N183" s="93">
        <f t="shared" ca="1" si="95"/>
        <v>44938</v>
      </c>
      <c r="O183" s="93">
        <f t="shared" ca="1" si="93"/>
        <v>116.72207792207791</v>
      </c>
      <c r="P183" s="93">
        <f t="shared" ca="1" si="94"/>
        <v>78.234679665738156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38500</v>
      </c>
      <c r="M184" s="498">
        <f t="shared" ca="1" si="96"/>
        <v>57440</v>
      </c>
      <c r="N184" s="498">
        <f t="shared" ca="1" si="96"/>
        <v>44938</v>
      </c>
      <c r="O184" s="498">
        <f t="shared" ca="1" si="93"/>
        <v>116.72207792207791</v>
      </c>
      <c r="P184" s="498">
        <f t="shared" ca="1" si="94"/>
        <v>78.234679665738156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IFERROR(__xludf.DUMMYFUNCTION("IMPORTRANGE(""https://docs.google.com/spreadsheets/d/1MeEWN-I1oV_STSDYn1IFDPWt_1FKiwhDph83XaGc0o0/edit?usp=sharing"",""งบพรบ!CO82"")"),38500)</f>
        <v>38500</v>
      </c>
      <c r="M186" s="93">
        <f ca="1">IFERROR(__xludf.DUMMYFUNCTION("IMPORTRANGE(""https://docs.google.com/spreadsheets/d/1MeEWN-I1oV_STSDYn1IFDPWt_1FKiwhDph83XaGc0o0/edit?usp=sharing"",""งบพรบ!CT82"")"),57440)</f>
        <v>57440</v>
      </c>
      <c r="N186" s="93">
        <f ca="1">IFERROR(__xludf.DUMMYFUNCTION("IMPORTRANGE(""https://docs.google.com/spreadsheets/d/1MeEWN-I1oV_STSDYn1IFDPWt_1FKiwhDph83XaGc0o0/edit?usp=sharing"",""งบพรบ!CV82"")"),44938)</f>
        <v>44938</v>
      </c>
      <c r="O186" s="93">
        <f t="shared" ca="1" si="93"/>
        <v>116.72207792207791</v>
      </c>
      <c r="P186" s="93">
        <f t="shared" ca="1" si="94"/>
        <v>78.234679665738156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IFERROR(__xludf.DUMMYFUNCTION("IMPORTRANGE(""https://docs.google.com/spreadsheets/d/1MeEWN-I1oV_STSDYn1IFDPWt_1FKiwhDph83XaGc0o0/edit?usp=sharing"",""งบพรบ!CR82"")"),0)</f>
        <v>0</v>
      </c>
      <c r="M189" s="93">
        <f ca="1">IFERROR(__xludf.DUMMYFUNCTION("IMPORTRANGE(""https://docs.google.com/spreadsheets/d/1MeEWN-I1oV_STSDYn1IFDPWt_1FKiwhDph83XaGc0o0/edit?usp=sharing"",""งบพรบ!CU82"")"),0)</f>
        <v>0</v>
      </c>
      <c r="N189" s="93">
        <f ca="1">IFERROR(__xludf.DUMMYFUNCTION("IMPORTRANGE(""https://docs.google.com/spreadsheets/d/1MeEWN-I1oV_STSDYn1IFDPWt_1FKiwhDph83XaGc0o0/edit?usp=sharing"",""งบพรบ!CW82"")"),0)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IFERROR(__xludf.DUMMYFUNCTION("IMPORTRANGE(""https://docs.google.com/spreadsheets/d/1QqKyyYR6Q21VydFLVH3TRQUabQu_ym0Zz7PgGX0-kHA/edit?usp=sharing"",""แผน!Z82"")"),6000)</f>
        <v>6000</v>
      </c>
      <c r="M191" s="155"/>
      <c r="N191" s="276">
        <v>4500</v>
      </c>
      <c r="O191" s="155">
        <f ca="1">IF(L191&gt;0,N191*100/L191,0)</f>
        <v>75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IFERROR(__xludf.DUMMYFUNCTION("IMPORTRANGE(""https://docs.google.com/spreadsheets/d/1QqKyyYR6Q21VydFLVH3TRQUabQu_ym0Zz7PgGX0-kHA/edit?usp=sharing"",""แผน!AC82"")"),4)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34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34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IFERROR(__xludf.DUMMYFUNCTION("IMPORTRANGE(""https://docs.google.com/spreadsheets/d/1QqKyyYR6Q21VydFLVH3TRQUabQu_ym0Zz7PgGX0-kHA/edit?usp=sharing"",""แผน!AE82"")"),2000)</f>
        <v>2000</v>
      </c>
      <c r="M199" s="498"/>
      <c r="N199" s="826">
        <v>856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IFERROR(__xludf.DUMMYFUNCTION("IMPORTRANGE(""https://docs.google.com/spreadsheets/d/1QqKyyYR6Q21VydFLVH3TRQUabQu_ym0Zz7PgGX0-kHA/edit?usp=sharing"",""แผน!AF82"")"),16000)</f>
        <v>16000</v>
      </c>
      <c r="M200" s="498"/>
      <c r="N200" s="826">
        <v>17144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IFERROR(__xludf.DUMMYFUNCTION("IMPORTRANGE(""https://docs.google.com/spreadsheets/d/1QqKyyYR6Q21VydFLVH3TRQUabQu_ym0Zz7PgGX0-kHA/edit?usp=sharing"",""แผน!AG82"")"),8000)</f>
        <v>8000</v>
      </c>
      <c r="M201" s="498"/>
      <c r="N201" s="826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IFERROR(__xludf.DUMMYFUNCTION("IMPORTRANGE(""https://docs.google.com/spreadsheets/d/1QqKyyYR6Q21VydFLVH3TRQUabQu_ym0Zz7PgGX0-kHA/edit?usp=sharing"",""แผน!AH82"")"),0)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IFERROR(__xludf.DUMMYFUNCTION("IMPORTRANGE(""https://docs.google.com/spreadsheets/d/1QqKyyYR6Q21VydFLVH3TRQUabQu_ym0Zz7PgGX0-kHA/edit?usp=sharing"",""แผน!AI82"")"),2)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IFERROR(__xludf.DUMMYFUNCTION("IMPORTRANGE(""https://docs.google.com/spreadsheets/d/1QqKyyYR6Q21VydFLVH3TRQUabQu_ym0Zz7PgGX0-kHA/edit?usp=sharing"",""แผน!AK82"")"),0)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IFERROR(__xludf.DUMMYFUNCTION("IMPORTRANGE(""https://docs.google.com/spreadsheets/d/1QqKyyYR6Q21VydFLVH3TRQUabQu_ym0Zz7PgGX0-kHA/edit?usp=sharing"",""แผน!AL82"")"),0)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IFERROR(__xludf.DUMMYFUNCTION("IMPORTRANGE(""https://docs.google.com/spreadsheets/d/1QqKyyYR6Q21VydFLVH3TRQUabQu_ym0Zz7PgGX0-kHA/edit?usp=sharing"",""แผน!AM82"")"),0)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IFERROR(__xludf.DUMMYFUNCTION("IMPORTRANGE(""https://docs.google.com/spreadsheets/d/1QqKyyYR6Q21VydFLVH3TRQUabQu_ym0Zz7PgGX0-kHA/edit?usp=sharing"",""แผน!AN82"")"),0)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IFERROR(__xludf.DUMMYFUNCTION("IMPORTRANGE(""https://docs.google.com/spreadsheets/d/1QqKyyYR6Q21VydFLVH3TRQUabQu_ym0Zz7PgGX0-kHA/edit?usp=sharing"",""แผน!AN82"")"),0)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10000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3500</v>
      </c>
      <c r="O217" s="155">
        <f ca="1">IF(L217&gt;0,N217*100/L217,0)</f>
        <v>53.846153846153847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IFERROR(__xludf.DUMMYFUNCTION("IMPORTRANGE(""https://docs.google.com/spreadsheets/d/1QqKyyYR6Q21VydFLVH3TRQUabQu_ym0Zz7PgGX0-kHA/edit?usp=sharing"",""แผน!AP82"")"),3000)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IFERROR(__xludf.DUMMYFUNCTION("IMPORTRANGE(""https://docs.google.com/spreadsheets/d/1QqKyyYR6Q21VydFLVH3TRQUabQu_ym0Zz7PgGX0-kHA/edit?usp=sharing"",""แผน!AQ82"")"),3500)</f>
        <v>3500</v>
      </c>
      <c r="M219" s="498"/>
      <c r="N219" s="826">
        <v>3500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IFERROR(__xludf.DUMMYFUNCTION("IMPORTRANGE(""https://docs.google.com/spreadsheets/d/1QqKyyYR6Q21VydFLVH3TRQUabQu_ym0Zz7PgGX0-kHA/edit?usp=sharing"",""แผน!AR82"")"),0)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IFERROR(__xludf.DUMMYFUNCTION("IMPORTRANGE(""https://docs.google.com/spreadsheets/d/1QqKyyYR6Q21VydFLVH3TRQUabQu_ym0Zz7PgGX0-kHA/edit?usp=sharing"",""แผน!AT82"")"),10000)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IFERROR(__xludf.DUMMYFUNCTION("IMPORTRANGE(""https://docs.google.com/spreadsheets/d/1QqKyyYR6Q21VydFLVH3TRQUabQu_ym0Zz7PgGX0-kHA/edit?usp=sharing"",""แผน!AT82"")"),10000)</f>
        <v>10000</v>
      </c>
      <c r="J224" s="215">
        <v>10000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IFERROR(__xludf.DUMMYFUNCTION("IMPORTRANGE(""https://docs.google.com/spreadsheets/d/1QqKyyYR6Q21VydFLVH3TRQUabQu_ym0Zz7PgGX0-kHA/edit?usp=sharing"",""แผน!AS82"")"),0)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IFERROR(__xludf.DUMMYFUNCTION("IMPORTRANGE(""https://docs.google.com/spreadsheets/d/1QqKyyYR6Q21VydFLVH3TRQUabQu_ym0Zz7PgGX0-kHA/edit?usp=sharing"",""แผน!AV82"")"),0)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IFERROR(__xludf.DUMMYFUNCTION("IMPORTRANGE(""https://docs.google.com/spreadsheets/d/1QqKyyYR6Q21VydFLVH3TRQUabQu_ym0Zz7PgGX0-kHA/edit?usp=sharing"",""แผน!AW82"")"),0)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IFERROR(__xludf.DUMMYFUNCTION("IMPORTRANGE(""https://docs.google.com/spreadsheets/d/1QqKyyYR6Q21VydFLVH3TRQUabQu_ym0Zz7PgGX0-kHA/edit?usp=sharing"",""แผน!AX82"")"),0)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IFERROR(__xludf.DUMMYFUNCTION("IMPORTRANGE(""https://docs.google.com/spreadsheets/d/1QqKyyYR6Q21VydFLVH3TRQUabQu_ym0Zz7PgGX0-kHA/edit?usp=sharing"",""แผน!AY82"")"),0)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IFERROR(__xludf.DUMMYFUNCTION("IMPORTRANGE(""https://docs.google.com/spreadsheets/d/1QqKyyYR6Q21VydFLVH3TRQUabQu_ym0Zz7PgGX0-kHA/edit?usp=sharing"",""แผน!BE82"")"),0)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IFERROR(__xludf.DUMMYFUNCTION("IMPORTRANGE(""https://docs.google.com/spreadsheets/d/1QqKyyYR6Q21VydFLVH3TRQUabQu_ym0Zz7PgGX0-kHA/edit?usp=sharing"",""แผน!AZ82"")"),0)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IFERROR(__xludf.DUMMYFUNCTION("IMPORTRANGE(""https://docs.google.com/spreadsheets/d/1QqKyyYR6Q21VydFLVH3TRQUabQu_ym0Zz7PgGX0-kHA/edit?usp=sharing"",""แผน!BA82"")"),0)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IFERROR(__xludf.DUMMYFUNCTION("IMPORTRANGE(""https://docs.google.com/spreadsheets/d/1QqKyyYR6Q21VydFLVH3TRQUabQu_ym0Zz7PgGX0-kHA/edit?usp=sharing"",""แผน!BB82"")"),0)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IFERROR(__xludf.DUMMYFUNCTION("IMPORTRANGE(""https://docs.google.com/spreadsheets/d/1QqKyyYR6Q21VydFLVH3TRQUabQu_ym0Zz7PgGX0-kHA/edit?usp=sharing"",""แผน!BC82"")"),0)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IFERROR(__xludf.DUMMYFUNCTION("IMPORTRANGE(""https://docs.google.com/spreadsheets/d/1QqKyyYR6Q21VydFLVH3TRQUabQu_ym0Zz7PgGX0-kHA/edit?usp=sharing"",""แผน!BF82"")"),0)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8160</v>
      </c>
      <c r="O261" s="155">
        <f t="shared" ref="O261:O269" ca="1" si="117">IF(L261&gt;0,N261*100/L261,0)</f>
        <v>32.64</v>
      </c>
      <c r="P261" s="155">
        <f t="shared" ref="P261:P269" ca="1" si="118">IF(M261&gt;0,N261*100/M261,0)</f>
        <v>32.64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8160</v>
      </c>
      <c r="O263" s="93">
        <f t="shared" ca="1" si="117"/>
        <v>32.64</v>
      </c>
      <c r="P263" s="93">
        <f t="shared" ca="1" si="118"/>
        <v>32.64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25000</v>
      </c>
      <c r="N264" s="498">
        <f t="shared" ca="1" si="120"/>
        <v>8160</v>
      </c>
      <c r="O264" s="498">
        <f t="shared" ca="1" si="117"/>
        <v>32.64</v>
      </c>
      <c r="P264" s="498">
        <f t="shared" ca="1" si="118"/>
        <v>32.64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IFERROR(__xludf.DUMMYFUNCTION("IMPORTRANGE(""https://docs.google.com/spreadsheets/d/1MeEWN-I1oV_STSDYn1IFDPWt_1FKiwhDph83XaGc0o0/edit?usp=sharing"",""งบพรบ!CY82"")"),25000)</f>
        <v>25000</v>
      </c>
      <c r="M266" s="93">
        <f ca="1">IFERROR(__xludf.DUMMYFUNCTION("IMPORTRANGE(""https://docs.google.com/spreadsheets/d/1MeEWN-I1oV_STSDYn1IFDPWt_1FKiwhDph83XaGc0o0/edit?usp=sharing"",""งบพรบ!DD82"")"),25000)</f>
        <v>25000</v>
      </c>
      <c r="N266" s="93">
        <f ca="1">IFERROR(__xludf.DUMMYFUNCTION("IMPORTRANGE(""https://docs.google.com/spreadsheets/d/1MeEWN-I1oV_STSDYn1IFDPWt_1FKiwhDph83XaGc0o0/edit?usp=sharing"",""งบพรบ!DF82"")"),8160)</f>
        <v>8160</v>
      </c>
      <c r="O266" s="93">
        <f t="shared" ca="1" si="117"/>
        <v>32.64</v>
      </c>
      <c r="P266" s="93">
        <f t="shared" ca="1" si="118"/>
        <v>32.64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IFERROR(__xludf.DUMMYFUNCTION("IMPORTRANGE(""https://docs.google.com/spreadsheets/d/1MeEWN-I1oV_STSDYn1IFDPWt_1FKiwhDph83XaGc0o0/edit?usp=sharing"",""งบพรบ!DB82"")"),0)</f>
        <v>0</v>
      </c>
      <c r="M269" s="93">
        <f ca="1">IFERROR(__xludf.DUMMYFUNCTION("IMPORTRANGE(""https://docs.google.com/spreadsheets/d/1MeEWN-I1oV_STSDYn1IFDPWt_1FKiwhDph83XaGc0o0/edit?usp=sharing"",""งบพรบ!DE82"")"),0)</f>
        <v>0</v>
      </c>
      <c r="N269" s="93">
        <f ca="1">IFERROR(__xludf.DUMMYFUNCTION("IMPORTRANGE(""https://docs.google.com/spreadsheets/d/1MeEWN-I1oV_STSDYn1IFDPWt_1FKiwhDph83XaGc0o0/edit?usp=sharing"",""งบพรบ!DG82"")"),0)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IFERROR(__xludf.DUMMYFUNCTION("IMPORTRANGE(""https://docs.google.com/spreadsheets/d/1QqKyyYR6Q21VydFLVH3TRQUabQu_ym0Zz7PgGX0-kHA/edit?usp=sharing"",""แผน!EA82"")"),20)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IFERROR(__xludf.DUMMYFUNCTION("IMPORTRANGE(""https://docs.google.com/spreadsheets/d/1MeEWN-I1oV_STSDYn1IFDPWt_1FKiwhDph83XaGc0o0/edit?usp=sharing"",""งบพรบ!DI82"")"),0)</f>
        <v>0</v>
      </c>
      <c r="M282" s="93">
        <f ca="1">IFERROR(__xludf.DUMMYFUNCTION("IMPORTRANGE(""https://docs.google.com/spreadsheets/d/1MeEWN-I1oV_STSDYn1IFDPWt_1FKiwhDph83XaGc0o0/edit?usp=sharing"",""งบพรบ!DN82"")"),0)</f>
        <v>0</v>
      </c>
      <c r="N282" s="93">
        <f ca="1">IFERROR(__xludf.DUMMYFUNCTION("IMPORTRANGE(""https://docs.google.com/spreadsheets/d/1MeEWN-I1oV_STSDYn1IFDPWt_1FKiwhDph83XaGc0o0/edit?usp=sharing"",""งบพรบ!DP82"")"),0)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IFERROR(__xludf.DUMMYFUNCTION("IMPORTRANGE(""https://docs.google.com/spreadsheets/d/1MeEWN-I1oV_STSDYn1IFDPWt_1FKiwhDph83XaGc0o0/edit?usp=sharing"",""งบพรบ!DL82"")"),0)</f>
        <v>0</v>
      </c>
      <c r="M285" s="93">
        <f ca="1">IFERROR(__xludf.DUMMYFUNCTION("IMPORTRANGE(""https://docs.google.com/spreadsheets/d/1MeEWN-I1oV_STSDYn1IFDPWt_1FKiwhDph83XaGc0o0/edit?usp=sharing"",""งบพรบ!DO82"")"),0)</f>
        <v>0</v>
      </c>
      <c r="N285" s="93">
        <f ca="1">IFERROR(__xludf.DUMMYFUNCTION("IMPORTRANGE(""https://docs.google.com/spreadsheets/d/1MeEWN-I1oV_STSDYn1IFDPWt_1FKiwhDph83XaGc0o0/edit?usp=sharing"",""งบพรบ!DQ82"")"),0)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IFERROR(__xludf.DUMMYFUNCTION("IMPORTRANGE(""https://docs.google.com/spreadsheets/d/1QqKyyYR6Q21VydFLVH3TRQUabQu_ym0Zz7PgGX0-kHA/edit?usp=sharing"",""แผน!EC82"")"),0)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IFERROR(__xludf.DUMMYFUNCTION("IMPORTRANGE(""https://docs.google.com/spreadsheets/d/1QqKyyYR6Q21VydFLVH3TRQUabQu_ym0Zz7PgGX0-kHA/edit?usp=sharing"",""แผน!EB82"")"),0)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IFERROR(__xludf.DUMMYFUNCTION("IMPORTRANGE(""https://docs.google.com/spreadsheets/d/1QqKyyYR6Q21VydFLVH3TRQUabQu_ym0Zz7PgGX0-kHA/edit?usp=sharing"",""แผน!EB82"")"),0)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IFERROR(__xludf.DUMMYFUNCTION("IMPORTRANGE(""https://docs.google.com/spreadsheets/d/1QqKyyYR6Q21VydFLVH3TRQUabQu_ym0Zz7PgGX0-kHA/edit?usp=sharing"",""แผน!EB82"")"),0)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IFERROR(__xludf.DUMMYFUNCTION("IMPORTRANGE(""https://docs.google.com/spreadsheets/d/1QqKyyYR6Q21VydFLVH3TRQUabQu_ym0Zz7PgGX0-kHA/edit?usp=sharing"",""แผน!EB82"")"),0)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IFERROR(__xludf.DUMMYFUNCTION("IMPORTRANGE(""https://docs.google.com/spreadsheets/d/1QqKyyYR6Q21VydFLVH3TRQUabQu_ym0Zz7PgGX0-kHA/edit?usp=sharing"",""แผน!EB82"")"),0)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82400</v>
      </c>
      <c r="O301" s="498">
        <f t="shared" ca="1" si="136"/>
        <v>100</v>
      </c>
      <c r="P301" s="49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IFERROR(__xludf.DUMMYFUNCTION("IMPORTRANGE(""https://docs.google.com/spreadsheets/d/1MeEWN-I1oV_STSDYn1IFDPWt_1FKiwhDph83XaGc0o0/edit?usp=sharing"",""งบพรบ!DS82"")"),82400)</f>
        <v>82400</v>
      </c>
      <c r="M303" s="93">
        <f ca="1">IFERROR(__xludf.DUMMYFUNCTION("IMPORTRANGE(""https://docs.google.com/spreadsheets/d/1MeEWN-I1oV_STSDYn1IFDPWt_1FKiwhDph83XaGc0o0/edit?usp=sharing"",""งบพรบ!DX82"")"),82400)</f>
        <v>82400</v>
      </c>
      <c r="N303" s="93">
        <f ca="1">IFERROR(__xludf.DUMMYFUNCTION("IMPORTRANGE(""https://docs.google.com/spreadsheets/d/1MeEWN-I1oV_STSDYn1IFDPWt_1FKiwhDph83XaGc0o0/edit?usp=sharing"",""งบพรบ!DZ82"")"),82400)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IFERROR(__xludf.DUMMYFUNCTION("IMPORTRANGE(""https://docs.google.com/spreadsheets/d/1MeEWN-I1oV_STSDYn1IFDPWt_1FKiwhDph83XaGc0o0/edit?usp=sharing"",""งบพรบ!DV82"")"),0)</f>
        <v>0</v>
      </c>
      <c r="M306" s="93">
        <f ca="1">IFERROR(__xludf.DUMMYFUNCTION("IMPORTRANGE(""https://docs.google.com/spreadsheets/d/1MeEWN-I1oV_STSDYn1IFDPWt_1FKiwhDph83XaGc0o0/edit?usp=sharing"",""งบพรบ!DY82"")"),0)</f>
        <v>0</v>
      </c>
      <c r="N306" s="93">
        <f ca="1">IFERROR(__xludf.DUMMYFUNCTION("IMPORTRANGE(""https://docs.google.com/spreadsheets/d/1MeEWN-I1oV_STSDYn1IFDPWt_1FKiwhDph83XaGc0o0/edit?usp=sharing"",""งบพรบ!EA82"")"),0)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IFERROR(__xludf.DUMMYFUNCTION("IMPORTRANGE(""https://docs.google.com/spreadsheets/d/1QqKyyYR6Q21VydFLVH3TRQUabQu_ym0Zz7PgGX0-kHA/edit?usp=sharing"",""แผน!ED82"")"),20)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IFERROR(__xludf.DUMMYFUNCTION("IMPORTRANGE(""https://docs.google.com/spreadsheets/d/1QqKyyYR6Q21VydFLVH3TRQUabQu_ym0Zz7PgGX0-kHA/edit?usp=sharing"",""แผน!ED82"")"),20)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IFERROR(__xludf.DUMMYFUNCTION("IMPORTRANGE(""https://docs.google.com/spreadsheets/d/1QqKyyYR6Q21VydFLVH3TRQUabQu_ym0Zz7PgGX0-kHA/edit?usp=sharing"",""แผน!ED82"")"),20)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IFERROR(__xludf.DUMMYFUNCTION("IMPORTRANGE(""https://docs.google.com/spreadsheets/d/1QqKyyYR6Q21VydFLVH3TRQUabQu_ym0Zz7PgGX0-kHA/edit?usp=sharing"",""แผน!EE82"")"),4)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IFERROR(__xludf.DUMMYFUNCTION("IMPORTRANGE(""https://docs.google.com/spreadsheets/d/1MeEWN-I1oV_STSDYn1IFDPWt_1FKiwhDph83XaGc0o0/edit?usp=sharing"",""งบพรบ!EC82"")"),0)</f>
        <v>0</v>
      </c>
      <c r="M320" s="93">
        <f ca="1">IFERROR(__xludf.DUMMYFUNCTION("IMPORTRANGE(""https://docs.google.com/spreadsheets/d/1MeEWN-I1oV_STSDYn1IFDPWt_1FKiwhDph83XaGc0o0/edit?usp=sharing"",""งบพรบ!EH82"")"),0)</f>
        <v>0</v>
      </c>
      <c r="N320" s="93">
        <f ca="1">IFERROR(__xludf.DUMMYFUNCTION("IMPORTRANGE(""https://docs.google.com/spreadsheets/d/1MeEWN-I1oV_STSDYn1IFDPWt_1FKiwhDph83XaGc0o0/edit?usp=sharing"",""งบพรบ!EJ82"")"),0)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IFERROR(__xludf.DUMMYFUNCTION("IMPORTRANGE(""https://docs.google.com/spreadsheets/d/1MeEWN-I1oV_STSDYn1IFDPWt_1FKiwhDph83XaGc0o0/edit?usp=sharing"",""งบพรบ!EF82"")"),0)</f>
        <v>0</v>
      </c>
      <c r="M323" s="93">
        <f ca="1">IFERROR(__xludf.DUMMYFUNCTION("IMPORTRANGE(""https://docs.google.com/spreadsheets/d/1MeEWN-I1oV_STSDYn1IFDPWt_1FKiwhDph83XaGc0o0/edit?usp=sharing"",""งบพรบ!EI82"")"),0)</f>
        <v>0</v>
      </c>
      <c r="N323" s="93">
        <f ca="1">IFERROR(__xludf.DUMMYFUNCTION("IMPORTRANGE(""https://docs.google.com/spreadsheets/d/1MeEWN-I1oV_STSDYn1IFDPWt_1FKiwhDph83XaGc0o0/edit?usp=sharing"",""งบพรบ!EK82"")"),0)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IFERROR(__xludf.DUMMYFUNCTION("IMPORTRANGE(""https://docs.google.com/spreadsheets/d/1QqKyyYR6Q21VydFLVH3TRQUabQu_ym0Zz7PgGX0-kHA/edit?usp=sharing"",""แผน!EF82"")"),0)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IFERROR(__xludf.DUMMYFUNCTION("IMPORTRANGE(""https://docs.google.com/spreadsheets/d/1QqKyyYR6Q21VydFLVH3TRQUabQu_ym0Zz7PgGX0-kHA/edit?usp=sharing"",""แผน!EG82"")"),1200)</f>
        <v>1200</v>
      </c>
      <c r="J327" s="445">
        <f ca="1">J338+J341+J342+J343</f>
        <v>2415</v>
      </c>
      <c r="K327" s="446">
        <f ca="1">IF(I327&gt;0,J327*100/I327,0)</f>
        <v>201.25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162000</v>
      </c>
      <c r="M328" s="155">
        <f t="shared" ca="1" si="149"/>
        <v>164500</v>
      </c>
      <c r="N328" s="155">
        <f t="shared" ca="1" si="149"/>
        <v>113508.35</v>
      </c>
      <c r="O328" s="155">
        <f t="shared" ref="O328:O336" ca="1" si="150">IF(L328&gt;0,N328*100/L328,0)</f>
        <v>70.066882716049378</v>
      </c>
      <c r="P328" s="155">
        <f t="shared" ref="P328:P336" ca="1" si="151">IF(M328&gt;0,N328*100/M328,0)</f>
        <v>69.002036474164129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162000</v>
      </c>
      <c r="M330" s="93">
        <f t="shared" ca="1" si="152"/>
        <v>164500</v>
      </c>
      <c r="N330" s="93">
        <f t="shared" ca="1" si="152"/>
        <v>113508.35</v>
      </c>
      <c r="O330" s="93">
        <f t="shared" ca="1" si="150"/>
        <v>70.066882716049378</v>
      </c>
      <c r="P330" s="93">
        <f t="shared" ca="1" si="151"/>
        <v>69.002036474164129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162000</v>
      </c>
      <c r="M331" s="498">
        <f t="shared" ca="1" si="153"/>
        <v>164500</v>
      </c>
      <c r="N331" s="498">
        <f t="shared" ca="1" si="153"/>
        <v>113508.35</v>
      </c>
      <c r="O331" s="498">
        <f t="shared" ca="1" si="150"/>
        <v>70.066882716049378</v>
      </c>
      <c r="P331" s="498">
        <f t="shared" ca="1" si="151"/>
        <v>69.002036474164129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IFERROR(__xludf.DUMMYFUNCTION("IMPORTRANGE(""https://docs.google.com/spreadsheets/d/1MeEWN-I1oV_STSDYn1IFDPWt_1FKiwhDph83XaGc0o0/edit?usp=sharing"",""งบพรบ!EM82"")"),162000)</f>
        <v>162000</v>
      </c>
      <c r="M333" s="93">
        <f ca="1">IFERROR(__xludf.DUMMYFUNCTION("IMPORTRANGE(""https://docs.google.com/spreadsheets/d/1MeEWN-I1oV_STSDYn1IFDPWt_1FKiwhDph83XaGc0o0/edit?usp=sharing"",""งบพรบ!ER82"")"),164500)</f>
        <v>164500</v>
      </c>
      <c r="N333" s="93">
        <f ca="1">IFERROR(__xludf.DUMMYFUNCTION("IMPORTRANGE(""https://docs.google.com/spreadsheets/d/1MeEWN-I1oV_STSDYn1IFDPWt_1FKiwhDph83XaGc0o0/edit?usp=sharing"",""งบพรบ!ET82"")"),113508.35)</f>
        <v>113508.35</v>
      </c>
      <c r="O333" s="93">
        <f t="shared" ca="1" si="150"/>
        <v>70.066882716049378</v>
      </c>
      <c r="P333" s="93">
        <f t="shared" ca="1" si="151"/>
        <v>69.002036474164129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IFERROR(__xludf.DUMMYFUNCTION("IMPORTRANGE(""https://docs.google.com/spreadsheets/d/1MeEWN-I1oV_STSDYn1IFDPWt_1FKiwhDph83XaGc0o0/edit?usp=sharing"",""งบพรบ!EP82"")"),0)</f>
        <v>0</v>
      </c>
      <c r="M336" s="93">
        <f ca="1">IFERROR(__xludf.DUMMYFUNCTION("IMPORTRANGE(""https://docs.google.com/spreadsheets/d/1MeEWN-I1oV_STSDYn1IFDPWt_1FKiwhDph83XaGc0o0/edit?usp=sharing"",""งบพรบ!ES82"")"),0)</f>
        <v>0</v>
      </c>
      <c r="N336" s="93">
        <f ca="1">IFERROR(__xludf.DUMMYFUNCTION("IMPORTRANGE(""https://docs.google.com/spreadsheets/d/1MeEWN-I1oV_STSDYn1IFDPWt_1FKiwhDph83XaGc0o0/edit?usp=sharing"",""งบพรบ!EU82"")"),0)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IFERROR(__xludf.DUMMYFUNCTION("IMPORTRANGE(""https://docs.google.com/spreadsheets/d/1QqKyyYR6Q21VydFLVH3TRQUabQu_ym0Zz7PgGX0-kHA/edit?usp=sharing"",""แผน!EG82"")"),1200)</f>
        <v>1200</v>
      </c>
      <c r="J338" s="270">
        <f ca="1">IFERROR(__xludf.DUMMYFUNCTION("IMPORTRANGE(""https://docs.google.com/spreadsheets/d/1kVcqe37tkHyjCSG3S0O1AXqVkqjo8mSIZil3BcpIysc/edit?usp=sharing"",""ศูนย์!D82"")"),2307)</f>
        <v>2307</v>
      </c>
      <c r="K338" s="498">
        <f ca="1">IF(I338&gt;0,J338*100/I338,0)</f>
        <v>192.25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IFERROR(__xludf.DUMMYFUNCTION("IMPORTRANGE(""https://docs.google.com/spreadsheets/d/1QqKyyYR6Q21VydFLVH3TRQUabQu_ym0Zz7PgGX0-kHA/edit?usp=sharing"",""แผน!EH82"")"),2)</f>
        <v>2</v>
      </c>
      <c r="J340" s="270">
        <f ca="1">IFERROR(__xludf.DUMMYFUNCTION("IMPORTRANGE(""https://docs.google.com/spreadsheets/d/1kVcqe37tkHyjCSG3S0O1AXqVkqjo8mSIZil3BcpIysc/edit?usp=sharing"",""ศูนย์!E82"")"),2)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IFERROR(__xludf.DUMMYFUNCTION("IMPORTRANGE(""https://docs.google.com/spreadsheets/d/1kVcqe37tkHyjCSG3S0O1AXqVkqjo8mSIZil3BcpIysc/edit?usp=sharing"",""ศูนย์!F82"")"),108)</f>
        <v>108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IFERROR(__xludf.DUMMYFUNCTION("IMPORTRANGE(""https://docs.google.com/spreadsheets/d/1kVcqe37tkHyjCSG3S0O1AXqVkqjo8mSIZil3BcpIysc/edit?usp=sharing"",""ศูนย์!G82"")"),0)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IFERROR(__xludf.DUMMYFUNCTION("IMPORTRANGE(""https://docs.google.com/spreadsheets/d/1kVcqe37tkHyjCSG3S0O1AXqVkqjo8mSIZil3BcpIysc/edit?usp=sharing"",""ศูนย์!H82"")"),0)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444870</v>
      </c>
      <c r="M345" s="155">
        <f t="shared" ca="1" si="155"/>
        <v>499870</v>
      </c>
      <c r="N345" s="155">
        <f t="shared" ca="1" si="155"/>
        <v>279879.82</v>
      </c>
      <c r="O345" s="155">
        <f t="shared" ref="O345:O353" ca="1" si="156">IF(L345&gt;0,N345*100/L345,0)</f>
        <v>62.912720570054177</v>
      </c>
      <c r="P345" s="155">
        <f t="shared" ref="P345:P353" ca="1" si="157">IF(M345&gt;0,N345*100/M345,0)</f>
        <v>55.990521535599257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444870</v>
      </c>
      <c r="M347" s="93">
        <f t="shared" ca="1" si="158"/>
        <v>499870</v>
      </c>
      <c r="N347" s="93">
        <f t="shared" ca="1" si="158"/>
        <v>279879.82</v>
      </c>
      <c r="O347" s="93">
        <f t="shared" ca="1" si="156"/>
        <v>62.912720570054177</v>
      </c>
      <c r="P347" s="93">
        <f t="shared" ca="1" si="157"/>
        <v>55.990521535599257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399870</v>
      </c>
      <c r="M348" s="498">
        <f t="shared" ca="1" si="159"/>
        <v>454870</v>
      </c>
      <c r="N348" s="498">
        <f t="shared" ca="1" si="159"/>
        <v>234879.82</v>
      </c>
      <c r="O348" s="498">
        <f t="shared" ca="1" si="156"/>
        <v>58.739045189686649</v>
      </c>
      <c r="P348" s="498">
        <f t="shared" ca="1" si="157"/>
        <v>51.636691802053335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IFERROR(__xludf.DUMMYFUNCTION("IMPORTRANGE(""https://docs.google.com/spreadsheets/d/1MeEWN-I1oV_STSDYn1IFDPWt_1FKiwhDph83XaGc0o0/edit?usp=sharing"",""งบพรบ!EW82"")"),399870)</f>
        <v>399870</v>
      </c>
      <c r="M350" s="93">
        <f ca="1">IFERROR(__xludf.DUMMYFUNCTION("IMPORTRANGE(""https://docs.google.com/spreadsheets/d/1MeEWN-I1oV_STSDYn1IFDPWt_1FKiwhDph83XaGc0o0/edit?usp=sharing"",""งบพรบ!FB82"")"),454870)</f>
        <v>454870</v>
      </c>
      <c r="N350" s="93">
        <f ca="1">IFERROR(__xludf.DUMMYFUNCTION("IMPORTRANGE(""https://docs.google.com/spreadsheets/d/1MeEWN-I1oV_STSDYn1IFDPWt_1FKiwhDph83XaGc0o0/edit?usp=sharing"",""งบพรบ!FD82"")"),234879.82)</f>
        <v>234879.82</v>
      </c>
      <c r="O350" s="93">
        <f t="shared" ca="1" si="156"/>
        <v>58.739045189686649</v>
      </c>
      <c r="P350" s="93">
        <f t="shared" ca="1" si="157"/>
        <v>51.636691802053335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45000</v>
      </c>
      <c r="M351" s="498">
        <f t="shared" ca="1" si="160"/>
        <v>45000</v>
      </c>
      <c r="N351" s="498">
        <f t="shared" ca="1" si="160"/>
        <v>45000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IFERROR(__xludf.DUMMYFUNCTION("IMPORTRANGE(""https://docs.google.com/spreadsheets/d/1MeEWN-I1oV_STSDYn1IFDPWt_1FKiwhDph83XaGc0o0/edit?usp=sharing"",""งบพรบ!EZ82"")"),45000)</f>
        <v>45000</v>
      </c>
      <c r="M353" s="93">
        <f ca="1">IFERROR(__xludf.DUMMYFUNCTION("IMPORTRANGE(""https://docs.google.com/spreadsheets/d/1MeEWN-I1oV_STSDYn1IFDPWt_1FKiwhDph83XaGc0o0/edit?usp=sharing"",""งบพรบ!FC82"")"),45000)</f>
        <v>45000</v>
      </c>
      <c r="N353" s="93">
        <f ca="1">IFERROR(__xludf.DUMMYFUNCTION("IMPORTRANGE(""https://docs.google.com/spreadsheets/d/1MeEWN-I1oV_STSDYn1IFDPWt_1FKiwhDph83XaGc0o0/edit?usp=sharing"",""งบพรบ!FE82"")"),45000)</f>
        <v>45000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IFERROR(__xludf.DUMMYFUNCTION("IMPORTRANGE(""https://docs.google.com/spreadsheets/d/1QqKyyYR6Q21VydFLVH3TRQUabQu_ym0Zz7PgGX0-kHA/edit?usp=sharing"",""แผน!EP82"")"),127)</f>
        <v>127</v>
      </c>
      <c r="J355" s="465">
        <f ca="1">J362</f>
        <v>36</v>
      </c>
      <c r="K355" s="466">
        <f ca="1">IF(I355&gt;0,J355*100/I355,0)</f>
        <v>28.346456692913385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IFERROR(__xludf.DUMMYFUNCTION("IMPORTRANGE(""https://docs.google.com/spreadsheets/d/1XWAQStnk-4SwqDmLtmXYiTMKHgktTP8We1SCoS47DrQ/edit?usp=sharing"",""จัดที่ดิน!W82"")"),15)</f>
        <v>15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IFERROR(__xludf.DUMMYFUNCTION("IMPORTRANGE(""https://docs.google.com/spreadsheets/d/1QqKyyYR6Q21VydFLVH3TRQUabQu_ym0Zz7PgGX0-kHA/edit?usp=sharing"",""แผน!EO82"")"),970)</f>
        <v>970</v>
      </c>
      <c r="J359" s="270">
        <f ca="1">IFERROR(__xludf.DUMMYFUNCTION("IMPORTRANGE(""https://docs.google.com/spreadsheets/d/1XWAQStnk-4SwqDmLtmXYiTMKHgktTP8We1SCoS47DrQ/edit?usp=sharing"",""จัดที่ดิน!X82"")"),56.68)</f>
        <v>56.68</v>
      </c>
      <c r="K359" s="498">
        <f t="shared" ca="1" si="161"/>
        <v>5.8432989690721646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IFERROR(__xludf.DUMMYFUNCTION("IMPORTRANGE(""https://docs.google.com/spreadsheets/d/1QqKyyYR6Q21VydFLVH3TRQUabQu_ym0Zz7PgGX0-kHA/edit?usp=sharing"",""แผน!EP82"")"),127)</f>
        <v>127</v>
      </c>
      <c r="J360" s="270">
        <f ca="1">IFERROR(__xludf.DUMMYFUNCTION("IMPORTRANGE(""https://docs.google.com/spreadsheets/d/1XWAQStnk-4SwqDmLtmXYiTMKHgktTP8We1SCoS47DrQ/edit?usp=sharing"",""จัดที่ดิน!Y82"")"),35)</f>
        <v>35</v>
      </c>
      <c r="K360" s="498">
        <f t="shared" ca="1" si="161"/>
        <v>27.559055118110237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IFERROR(__xludf.DUMMYFUNCTION("IMPORTRANGE(""https://docs.google.com/spreadsheets/d/1XWAQStnk-4SwqDmLtmXYiTMKHgktTP8We1SCoS47DrQ/edit?usp=sharing"",""จัดที่ดิน!Z82"")"),96.31)</f>
        <v>96.31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IFERROR(__xludf.DUMMYFUNCTION("IMPORTRANGE(""https://docs.google.com/spreadsheets/d/1QqKyyYR6Q21VydFLVH3TRQUabQu_ym0Zz7PgGX0-kHA/edit?usp=sharing"",""แผน!EP82"")"),127)</f>
        <v>127</v>
      </c>
      <c r="J362" s="270">
        <f ca="1">IFERROR(__xludf.DUMMYFUNCTION("IMPORTRANGE(""https://docs.google.com/spreadsheets/d/1XWAQStnk-4SwqDmLtmXYiTMKHgktTP8We1SCoS47DrQ/edit?usp=sharing"",""จัดที่ดิน!AA82"")"),36)</f>
        <v>36</v>
      </c>
      <c r="K362" s="498">
        <f t="shared" ca="1" si="161"/>
        <v>28.346456692913385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IFERROR(__xludf.DUMMYFUNCTION("IMPORTRANGE(""https://docs.google.com/spreadsheets/d/1XWAQStnk-4SwqDmLtmXYiTMKHgktTP8We1SCoS47DrQ/edit?usp=sharing"",""จัดที่ดิน!AB82"")"),96.96)</f>
        <v>96.96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267</v>
      </c>
      <c r="J364" s="479">
        <f t="shared" ca="1" si="162"/>
        <v>167</v>
      </c>
      <c r="K364" s="480">
        <f t="shared" ca="1" si="161"/>
        <v>62.546816479400746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IFERROR(__xludf.DUMMYFUNCTION("IMPORTRANGE(""https://docs.google.com/spreadsheets/d/1QqKyyYR6Q21VydFLVH3TRQUabQu_ym0Zz7PgGX0-kHA/edit?usp=sharing"",""แผน!EJ82"")"),67)</f>
        <v>67</v>
      </c>
      <c r="J365" s="491">
        <f ca="1">J372</f>
        <v>26</v>
      </c>
      <c r="K365" s="492">
        <f t="shared" ca="1" si="161"/>
        <v>38.805970149253731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IFERROR(__xludf.DUMMYFUNCTION("IMPORTRANGE(""https://docs.google.com/spreadsheets/d/1XWAQStnk-4SwqDmLtmXYiTMKHgktTP8We1SCoS47DrQ/edit?usp=sharing"",""จัดที่ดิน!E82"")"),5)</f>
        <v>5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IFERROR(__xludf.DUMMYFUNCTION("IMPORTRANGE(""https://docs.google.com/spreadsheets/d/1QqKyyYR6Q21VydFLVH3TRQUabQu_ym0Zz7PgGX0-kHA/edit?usp=sharing"",""แผน!EI82"")"),670)</f>
        <v>670</v>
      </c>
      <c r="J369" s="270">
        <f ca="1">IFERROR(__xludf.DUMMYFUNCTION("IMPORTRANGE(""https://docs.google.com/spreadsheets/d/1XWAQStnk-4SwqDmLtmXYiTMKHgktTP8We1SCoS47DrQ/edit?usp=sharing"",""จัดที่ดิน!F82"")"),26.14)</f>
        <v>26.14</v>
      </c>
      <c r="K369" s="498">
        <f t="shared" ca="1" si="163"/>
        <v>3.901492537313433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IFERROR(__xludf.DUMMYFUNCTION("IMPORTRANGE(""https://docs.google.com/spreadsheets/d/1QqKyyYR6Q21VydFLVH3TRQUabQu_ym0Zz7PgGX0-kHA/edit?usp=sharing"",""แผน!EJ82"")"),67)</f>
        <v>67</v>
      </c>
      <c r="J370" s="270">
        <f ca="1">IFERROR(__xludf.DUMMYFUNCTION("IMPORTRANGE(""https://docs.google.com/spreadsheets/d/1XWAQStnk-4SwqDmLtmXYiTMKHgktTP8We1SCoS47DrQ/edit?usp=sharing"",""จัดที่ดิน!G82"")"),25)</f>
        <v>25</v>
      </c>
      <c r="K370" s="498">
        <f t="shared" ca="1" si="163"/>
        <v>37.313432835820898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IFERROR(__xludf.DUMMYFUNCTION("IMPORTRANGE(""https://docs.google.com/spreadsheets/d/1XWAQStnk-4SwqDmLtmXYiTMKHgktTP8We1SCoS47DrQ/edit?usp=sharing"",""จัดที่ดิน!H82"")"),65.77)</f>
        <v>65.77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IFERROR(__xludf.DUMMYFUNCTION("IMPORTRANGE(""https://docs.google.com/spreadsheets/d/1QqKyyYR6Q21VydFLVH3TRQUabQu_ym0Zz7PgGX0-kHA/edit?usp=sharing"",""แผน!EJ82"")"),67)</f>
        <v>67</v>
      </c>
      <c r="J372" s="270">
        <f ca="1">IFERROR(__xludf.DUMMYFUNCTION("IMPORTRANGE(""https://docs.google.com/spreadsheets/d/1XWAQStnk-4SwqDmLtmXYiTMKHgktTP8We1SCoS47DrQ/edit?usp=sharing"",""จัดที่ดิน!I82"")"),26)</f>
        <v>26</v>
      </c>
      <c r="K372" s="498">
        <f t="shared" ca="1" si="163"/>
        <v>38.805970149253731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IFERROR(__xludf.DUMMYFUNCTION("IMPORTRANGE(""https://docs.google.com/spreadsheets/d/1XWAQStnk-4SwqDmLtmXYiTMKHgktTP8We1SCoS47DrQ/edit?usp=sharing"",""จัดที่ดิน!J82"")"),66.42)</f>
        <v>66.42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IFERROR(__xludf.DUMMYFUNCTION("IMPORTRANGE(""https://docs.google.com/spreadsheets/d/1QqKyyYR6Q21VydFLVH3TRQUabQu_ym0Zz7PgGX0-kHA/edit?usp=sharing"",""แผน!EU82"")"),200)</f>
        <v>200</v>
      </c>
      <c r="J374" s="491">
        <f ca="1">J381</f>
        <v>141</v>
      </c>
      <c r="K374" s="492">
        <f t="shared" ca="1" si="163"/>
        <v>70.5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IFERROR(__xludf.DUMMYFUNCTION("IMPORTRANGE(""https://docs.google.com/spreadsheets/d/1XWAQStnk-4SwqDmLtmXYiTMKHgktTP8We1SCoS47DrQ/edit?usp=sharing"",""จัดที่ดิน!AH82"")"),10)</f>
        <v>10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IFERROR(__xludf.DUMMYFUNCTION("IMPORTRANGE(""https://docs.google.com/spreadsheets/d/1QqKyyYR6Q21VydFLVH3TRQUabQu_ym0Zz7PgGX0-kHA/edit?usp=sharing"",""แผน!ET82"")"),300)</f>
        <v>300</v>
      </c>
      <c r="J378" s="270">
        <f ca="1">IFERROR(__xludf.DUMMYFUNCTION("IMPORTRANGE(""https://docs.google.com/spreadsheets/d/1XWAQStnk-4SwqDmLtmXYiTMKHgktTP8We1SCoS47DrQ/edit?usp=sharing"",""จัดที่ดิน!AI82"")"),30.54)</f>
        <v>30.54</v>
      </c>
      <c r="K378" s="498">
        <f t="shared" ca="1" si="164"/>
        <v>10.18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IFERROR(__xludf.DUMMYFUNCTION("IMPORTRANGE(""https://docs.google.com/spreadsheets/d/1QqKyyYR6Q21VydFLVH3TRQUabQu_ym0Zz7PgGX0-kHA/edit?usp=sharing"",""แผน!EU82"")"),200)</f>
        <v>200</v>
      </c>
      <c r="J379" s="270">
        <f ca="1">IFERROR(__xludf.DUMMYFUNCTION("IMPORTRANGE(""https://docs.google.com/spreadsheets/d/1XWAQStnk-4SwqDmLtmXYiTMKHgktTP8We1SCoS47DrQ/edit?usp=sharing"",""จัดที่ดิน!AJ82"")"),140)</f>
        <v>140</v>
      </c>
      <c r="K379" s="498">
        <f t="shared" ca="1" si="164"/>
        <v>70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IFERROR(__xludf.DUMMYFUNCTION("IMPORTRANGE(""https://docs.google.com/spreadsheets/d/1XWAQStnk-4SwqDmLtmXYiTMKHgktTP8We1SCoS47DrQ/edit?usp=sharing"",""จัดที่ดิน!AK82"")"),936.76)</f>
        <v>936.76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IFERROR(__xludf.DUMMYFUNCTION("IMPORTRANGE(""https://docs.google.com/spreadsheets/d/1QqKyyYR6Q21VydFLVH3TRQUabQu_ym0Zz7PgGX0-kHA/edit?usp=sharing"",""แผน!EU82"")"),200)</f>
        <v>200</v>
      </c>
      <c r="J381" s="270">
        <f ca="1">IFERROR(__xludf.DUMMYFUNCTION("IMPORTRANGE(""https://docs.google.com/spreadsheets/d/1XWAQStnk-4SwqDmLtmXYiTMKHgktTP8We1SCoS47DrQ/edit?usp=sharing"",""จัดที่ดิน!AL82"")"),141)</f>
        <v>141</v>
      </c>
      <c r="K381" s="498">
        <f t="shared" ca="1" si="164"/>
        <v>70.5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IFERROR(__xludf.DUMMYFUNCTION("IMPORTRANGE(""https://docs.google.com/spreadsheets/d/1XWAQStnk-4SwqDmLtmXYiTMKHgktTP8We1SCoS47DrQ/edit?usp=sharing"",""จัดที่ดิน!AM82"")"),939.13)</f>
        <v>939.13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IFERROR(__xludf.DUMMYFUNCTION("IMPORTRANGE(""https://docs.google.com/spreadsheets/d/1QqKyyYR6Q21VydFLVH3TRQUabQu_ym0Zz7PgGX0-kHA/edit?usp=sharing"",""แผน!EW82"")"),10)</f>
        <v>10</v>
      </c>
      <c r="J385" s="505">
        <f ca="1">IFERROR(__xludf.DUMMYFUNCTION("IMPORTRANGE(""https://docs.google.com/spreadsheets/d/1XWAQStnk-4SwqDmLtmXYiTMKHgktTP8We1SCoS47DrQ/edit?usp=sharing"",""จัดที่ดิน!AP82"")"),8)</f>
        <v>8</v>
      </c>
      <c r="K385" s="506">
        <f ca="1">IF(I385&gt;0,J385*100/I385,0)</f>
        <v>80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IFERROR(__xludf.DUMMYFUNCTION("IMPORTRANGE(""https://docs.google.com/spreadsheets/d/1MeEWN-I1oV_STSDYn1IFDPWt_1FKiwhDph83XaGc0o0/edit?usp=sharing"",""งบพรบ!FG82"")"),0)</f>
        <v>0</v>
      </c>
      <c r="M394" s="93">
        <f ca="1">IFERROR(__xludf.DUMMYFUNCTION("IMPORTRANGE(""https://docs.google.com/spreadsheets/d/1MeEWN-I1oV_STSDYn1IFDPWt_1FKiwhDph83XaGc0o0/edit?usp=sharing"",""งบพรบ!FL82"")"),0)</f>
        <v>0</v>
      </c>
      <c r="N394" s="93">
        <f ca="1">IFERROR(__xludf.DUMMYFUNCTION("IMPORTRANGE(""https://docs.google.com/spreadsheets/d/1MeEWN-I1oV_STSDYn1IFDPWt_1FKiwhDph83XaGc0o0/edit?usp=sharing"",""งบพรบ!FN82"")"),0)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IFERROR(__xludf.DUMMYFUNCTION("IMPORTRANGE(""https://docs.google.com/spreadsheets/d/1MeEWN-I1oV_STSDYn1IFDPWt_1FKiwhDph83XaGc0o0/edit?usp=sharing"",""งบพรบ!FJ82"")"),0)</f>
        <v>0</v>
      </c>
      <c r="M397" s="93">
        <f ca="1">IFERROR(__xludf.DUMMYFUNCTION("IMPORTRANGE(""https://docs.google.com/spreadsheets/d/1MeEWN-I1oV_STSDYn1IFDPWt_1FKiwhDph83XaGc0o0/edit?usp=sharing"",""งบพรบ!FM82"")"),0)</f>
        <v>0</v>
      </c>
      <c r="N397" s="93">
        <f ca="1">IFERROR(__xludf.DUMMYFUNCTION("IMPORTRANGE(""https://docs.google.com/spreadsheets/d/1MeEWN-I1oV_STSDYn1IFDPWt_1FKiwhDph83XaGc0o0/edit?usp=sharing"",""งบพรบ!FO82"")"),0)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IFERROR(__xludf.DUMMYFUNCTION("IMPORTRANGE(""https://docs.google.com/spreadsheets/d/1MeEWN-I1oV_STSDYn1IFDPWt_1FKiwhDph83XaGc0o0/edit?usp=sharing"",""งบพรบ!FQ82"")"),0)</f>
        <v>0</v>
      </c>
      <c r="M407" s="93">
        <f ca="1">IFERROR(__xludf.DUMMYFUNCTION("IMPORTRANGE(""https://docs.google.com/spreadsheets/d/1MeEWN-I1oV_STSDYn1IFDPWt_1FKiwhDph83XaGc0o0/edit?usp=sharing"",""งบพรบ!FV82"")"),0)</f>
        <v>0</v>
      </c>
      <c r="N407" s="93">
        <f ca="1">IFERROR(__xludf.DUMMYFUNCTION("IMPORTRANGE(""https://docs.google.com/spreadsheets/d/1MeEWN-I1oV_STSDYn1IFDPWt_1FKiwhDph83XaGc0o0/edit?usp=sharing"",""งบพรบ!FX82"")"),0)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IFERROR(__xludf.DUMMYFUNCTION("IMPORTRANGE(""https://docs.google.com/spreadsheets/d/1MeEWN-I1oV_STSDYn1IFDPWt_1FKiwhDph83XaGc0o0/edit?usp=sharing"",""งบพรบ!FT82"")"),0)</f>
        <v>0</v>
      </c>
      <c r="M410" s="93">
        <f ca="1">IFERROR(__xludf.DUMMYFUNCTION("IMPORTRANGE(""https://docs.google.com/spreadsheets/d/1MeEWN-I1oV_STSDYn1IFDPWt_1FKiwhDph83XaGc0o0/edit?usp=sharing"",""งบพรบ!FW82"")"),0)</f>
        <v>0</v>
      </c>
      <c r="N410" s="93">
        <f ca="1">IFERROR(__xludf.DUMMYFUNCTION("IMPORTRANGE(""https://docs.google.com/spreadsheets/d/1MeEWN-I1oV_STSDYn1IFDPWt_1FKiwhDph83XaGc0o0/edit?usp=sharing"",""งบพรบ!FY82"")"),0)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1272608</v>
      </c>
      <c r="M414" s="553">
        <f t="shared" ca="1" si="181"/>
        <v>1272608</v>
      </c>
      <c r="N414" s="553">
        <f t="shared" si="181"/>
        <v>951690.45</v>
      </c>
      <c r="O414" s="553">
        <f ca="1">IF(L414&gt;0,N414*100/L414,0)</f>
        <v>74.782686420327394</v>
      </c>
      <c r="P414" s="553">
        <f ca="1">IF(M414&gt;0,N414*100/M414,0)</f>
        <v>74.782686420327394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92760</v>
      </c>
      <c r="M419" s="155">
        <f t="shared" ca="1" si="184"/>
        <v>92760</v>
      </c>
      <c r="N419" s="155">
        <f t="shared" si="184"/>
        <v>91240</v>
      </c>
      <c r="O419" s="155">
        <f t="shared" ref="O419:O424" ca="1" si="185">IF(L419&gt;0,N419*100/L419,0)</f>
        <v>98.361362656317382</v>
      </c>
      <c r="P419" s="155">
        <f t="shared" ref="P419:P424" ca="1" si="186">IF(M419&gt;0,N419*100/M419,0)</f>
        <v>98.361362656317382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92760</v>
      </c>
      <c r="M421" s="93">
        <f t="shared" ca="1" si="187"/>
        <v>92760</v>
      </c>
      <c r="N421" s="93">
        <f t="shared" si="187"/>
        <v>91240</v>
      </c>
      <c r="O421" s="93">
        <f t="shared" ca="1" si="185"/>
        <v>98.361362656317382</v>
      </c>
      <c r="P421" s="93">
        <f t="shared" ca="1" si="186"/>
        <v>98.361362656317382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92760</v>
      </c>
      <c r="M422" s="498">
        <f t="shared" ca="1" si="188"/>
        <v>92760</v>
      </c>
      <c r="N422" s="498">
        <f t="shared" si="188"/>
        <v>91240</v>
      </c>
      <c r="O422" s="498">
        <f t="shared" ca="1" si="185"/>
        <v>98.361362656317382</v>
      </c>
      <c r="P422" s="498">
        <f t="shared" ca="1" si="186"/>
        <v>98.361362656317382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IFERROR(__xludf.DUMMYFUNCTION("IMPORTRANGE(""https://docs.google.com/spreadsheets/d/1QqKyyYR6Q21VydFLVH3TRQUabQu_ym0Zz7PgGX0-kHA/edit?usp=sharing"",""แผน!EY82"")"),92760)</f>
        <v>92760</v>
      </c>
      <c r="M424" s="93">
        <f ca="1">L424</f>
        <v>92760</v>
      </c>
      <c r="N424" s="93">
        <f>N425+N426+N427+N428</f>
        <v>91240</v>
      </c>
      <c r="O424" s="93">
        <f t="shared" ca="1" si="185"/>
        <v>98.361362656317382</v>
      </c>
      <c r="P424" s="93">
        <f t="shared" ca="1" si="186"/>
        <v>98.361362656317382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36640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54600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IFERROR(__xludf.DUMMYFUNCTION("IMPORTRANGE(""https://docs.google.com/spreadsheets/d/1QqKyyYR6Q21VydFLVH3TRQUabQu_ym0Zz7PgGX0-kHA/edit?usp=sharing"",""แผน!FC82"")"),15)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IFERROR(__xludf.DUMMYFUNCTION("IMPORTRANGE(""https://docs.google.com/spreadsheets/d/1QqKyyYR6Q21VydFLVH3TRQUabQu_ym0Zz7PgGX0-kHA/edit?usp=sharing"",""แผน!FD82"")"),0)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IFERROR(__xludf.DUMMYFUNCTION("IMPORTRANGE(""https://docs.google.com/spreadsheets/d/1QqKyyYR6Q21VydFLVH3TRQUabQu_ym0Zz7PgGX0-kHA/edit?usp=sharing"",""แผน!FE82"")"),0)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IFERROR(__xludf.DUMMYFUNCTION("IMPORTRANGE(""https://docs.google.com/spreadsheets/d/1QqKyyYR6Q21VydFLVH3TRQUabQu_ym0Zz7PgGX0-kHA/edit?usp=sharing"",""แผน!FF82"")"),15)</f>
        <v>15</v>
      </c>
      <c r="J439" s="215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IFERROR(__xludf.DUMMYFUNCTION("IMPORTRANGE(""https://docs.google.com/spreadsheets/d/1QqKyyYR6Q21VydFLVH3TRQUabQu_ym0Zz7PgGX0-kHA/edit?usp=sharing"",""แผน!FG82"")"),1)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IFERROR(__xludf.DUMMYFUNCTION("IMPORTRANGE(""https://docs.google.com/spreadsheets/d/1QqKyyYR6Q21VydFLVH3TRQUabQu_ym0Zz7PgGX0-kHA/edit?usp=sharing"",""แผน!FH82"")"),0)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40</v>
      </c>
      <c r="J442" s="589">
        <f t="shared" si="195"/>
        <v>40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120</v>
      </c>
      <c r="J443" s="569">
        <f t="shared" si="196"/>
        <v>120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367400</v>
      </c>
      <c r="M444" s="195">
        <f t="shared" ca="1" si="197"/>
        <v>367400</v>
      </c>
      <c r="N444" s="195">
        <f t="shared" si="197"/>
        <v>300945.17</v>
      </c>
      <c r="O444" s="195">
        <f t="shared" ref="O444:O449" ca="1" si="198">IF(L444&gt;0,N444*100/L444,0)</f>
        <v>81.912131192161127</v>
      </c>
      <c r="P444" s="195">
        <f t="shared" ref="P444:P449" ca="1" si="199">IF(M444&gt;0,N444*100/M444,0)</f>
        <v>81.912131192161127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367400</v>
      </c>
      <c r="M446" s="93">
        <f t="shared" ca="1" si="200"/>
        <v>367400</v>
      </c>
      <c r="N446" s="93">
        <f t="shared" si="200"/>
        <v>300945.17</v>
      </c>
      <c r="O446" s="93">
        <f t="shared" ca="1" si="198"/>
        <v>81.912131192161127</v>
      </c>
      <c r="P446" s="93">
        <f t="shared" ca="1" si="199"/>
        <v>81.912131192161127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367400</v>
      </c>
      <c r="M447" s="498">
        <f t="shared" ca="1" si="201"/>
        <v>367400</v>
      </c>
      <c r="N447" s="498">
        <f t="shared" si="201"/>
        <v>300945.17</v>
      </c>
      <c r="O447" s="498">
        <f t="shared" ca="1" si="198"/>
        <v>81.912131192161127</v>
      </c>
      <c r="P447" s="498">
        <f t="shared" ca="1" si="199"/>
        <v>81.912131192161127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IFERROR(__xludf.DUMMYFUNCTION("IMPORTRANGE(""https://docs.google.com/spreadsheets/d/1QqKyyYR6Q21VydFLVH3TRQUabQu_ym0Zz7PgGX0-kHA/edit?usp=sharing"",""แผน!FJ82"")"),367400)</f>
        <v>367400</v>
      </c>
      <c r="M449" s="93">
        <f ca="1">L449</f>
        <v>367400</v>
      </c>
      <c r="N449" s="93">
        <f>N450+N451+N452+N453</f>
        <v>300945.17</v>
      </c>
      <c r="O449" s="93">
        <f t="shared" ca="1" si="198"/>
        <v>81.912131192161127</v>
      </c>
      <c r="P449" s="93">
        <f t="shared" ca="1" si="199"/>
        <v>81.912131192161127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54400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122985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101050.17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22510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IFERROR(__xludf.DUMMYFUNCTION("IMPORTRANGE(""https://docs.google.com/spreadsheets/d/1QqKyyYR6Q21VydFLVH3TRQUabQu_ym0Zz7PgGX0-kHA/edit?usp=sharing"",""แผน!FN82"")"),40)</f>
        <v>40</v>
      </c>
      <c r="J460" s="215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IFERROR(__xludf.DUMMYFUNCTION("IMPORTRANGE(""https://docs.google.com/spreadsheets/d/1QqKyyYR6Q21VydFLVH3TRQUabQu_ym0Zz7PgGX0-kHA/edit?usp=sharing"",""แผน!FO82"")"),120)</f>
        <v>120</v>
      </c>
      <c r="J462" s="215">
        <v>120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IFERROR(__xludf.DUMMYFUNCTION("IMPORTRANGE(""https://docs.google.com/spreadsheets/d/1QqKyyYR6Q21VydFLVH3TRQUabQu_ym0Zz7PgGX0-kHA/edit?usp=sharing"",""แผน!FO82"")"),120)</f>
        <v>120</v>
      </c>
      <c r="J463" s="215">
        <v>120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IFERROR(__xludf.DUMMYFUNCTION("IMPORTRANGE(""https://docs.google.com/spreadsheets/d/1QqKyyYR6Q21VydFLVH3TRQUabQu_ym0Zz7PgGX0-kHA/edit?usp=sharing"",""แผน!FN82"")"),40)</f>
        <v>40</v>
      </c>
      <c r="J464" s="215">
        <v>40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IFERROR(__xludf.DUMMYFUNCTION("IMPORTRANGE(""https://docs.google.com/spreadsheets/d/1QqKyyYR6Q21VydFLVH3TRQUabQu_ym0Zz7PgGX0-kHA/edit?usp=sharing"",""แผน!FX82"")"),31)</f>
        <v>31</v>
      </c>
      <c r="J465" s="589">
        <f>J485+J489+J492</f>
        <v>31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IFERROR(__xludf.DUMMYFUNCTION("IMPORTRANGE(""https://docs.google.com/spreadsheets/d/1QqKyyYR6Q21VydFLVH3TRQUabQu_ym0Zz7PgGX0-kHA/edit?usp=sharing"",""แผน!FW82"")"),300)</f>
        <v>300</v>
      </c>
      <c r="J466" s="569">
        <f>J495+J498</f>
        <v>300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263773</v>
      </c>
      <c r="M467" s="195">
        <f t="shared" ca="1" si="206"/>
        <v>263773</v>
      </c>
      <c r="N467" s="195">
        <f t="shared" si="206"/>
        <v>260506</v>
      </c>
      <c r="O467" s="195">
        <f t="shared" ref="O467:O472" ca="1" si="207">IF(L467&gt;0,N467*100/L467,0)</f>
        <v>98.761435021780088</v>
      </c>
      <c r="P467" s="195">
        <f t="shared" ref="P467:P472" ca="1" si="208">IF(M467&gt;0,N467*100/M467,0)</f>
        <v>98.761435021780088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263773</v>
      </c>
      <c r="M469" s="93">
        <f t="shared" ca="1" si="209"/>
        <v>263773</v>
      </c>
      <c r="N469" s="93">
        <f t="shared" si="209"/>
        <v>260506</v>
      </c>
      <c r="O469" s="93">
        <f t="shared" ca="1" si="207"/>
        <v>98.761435021780088</v>
      </c>
      <c r="P469" s="93">
        <f t="shared" ca="1" si="208"/>
        <v>98.761435021780088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263773</v>
      </c>
      <c r="M470" s="498">
        <f t="shared" ca="1" si="210"/>
        <v>263773</v>
      </c>
      <c r="N470" s="498">
        <f t="shared" si="210"/>
        <v>260506</v>
      </c>
      <c r="O470" s="498">
        <f t="shared" ca="1" si="207"/>
        <v>98.761435021780088</v>
      </c>
      <c r="P470" s="498">
        <f t="shared" ca="1" si="208"/>
        <v>98.761435021780088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IFERROR(__xludf.DUMMYFUNCTION("IMPORTRANGE(""https://docs.google.com/spreadsheets/d/1QqKyyYR6Q21VydFLVH3TRQUabQu_ym0Zz7PgGX0-kHA/edit?usp=sharing"",""แผน!FS82"")"),263773)</f>
        <v>263773</v>
      </c>
      <c r="M472" s="93">
        <f ca="1">L472</f>
        <v>263773</v>
      </c>
      <c r="N472" s="93">
        <f>N473+N474+N475+N476</f>
        <v>260506</v>
      </c>
      <c r="O472" s="93">
        <f t="shared" ca="1" si="207"/>
        <v>98.761435021780088</v>
      </c>
      <c r="P472" s="93">
        <f t="shared" ca="1" si="208"/>
        <v>98.761435021780088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47696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190000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22810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IFERROR(__xludf.DUMMYFUNCTION("IMPORTRANGE(""https://docs.google.com/spreadsheets/d/1QqKyyYR6Q21VydFLVH3TRQUabQu_ym0Zz7PgGX0-kHA/edit?usp=sharing"",""แผน!FY82"")"),270)</f>
        <v>270</v>
      </c>
      <c r="J483" s="215">
        <v>270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IFERROR(__xludf.DUMMYFUNCTION("IMPORTRANGE(""https://docs.google.com/spreadsheets/d/1QqKyyYR6Q21VydFLVH3TRQUabQu_ym0Zz7PgGX0-kHA/edit?usp=sharing"",""แผน!FZ82"")"),27)</f>
        <v>27</v>
      </c>
      <c r="J485" s="215">
        <v>27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IFERROR(__xludf.DUMMYFUNCTION("IMPORTRANGE(""https://docs.google.com/spreadsheets/d/1QqKyyYR6Q21VydFLVH3TRQUabQu_ym0Zz7PgGX0-kHA/edit?usp=sharing"",""แผน!GA82"")"),30)</f>
        <v>30</v>
      </c>
      <c r="J487" s="215">
        <v>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4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IFERROR(__xludf.DUMMYFUNCTION("IMPORTRANGE(""https://docs.google.com/spreadsheets/d/1QqKyyYR6Q21VydFLVH3TRQUabQu_ym0Zz7PgGX0-kHA/edit?usp=sharing"",""แผน!GB82"")"),3)</f>
        <v>3</v>
      </c>
      <c r="J489" s="215">
        <v>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IFERROR(__xludf.DUMMYFUNCTION("IMPORTRANGE(""https://docs.google.com/spreadsheets/d/1QqKyyYR6Q21VydFLVH3TRQUabQu_ym0Zz7PgGX0-kHA/edit?usp=sharing"",""แผน!GC82"")"),1)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IFERROR(__xludf.DUMMYFUNCTION("IMPORTRANGE(""https://docs.google.com/spreadsheets/d/1QqKyyYR6Q21VydFLVH3TRQUabQu_ym0Zz7PgGX0-kHA/edit?usp=sharing"",""แผน!FY82"")"),270)</f>
        <v>270</v>
      </c>
      <c r="J495" s="215">
        <v>270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IFERROR(__xludf.DUMMYFUNCTION("IMPORTRANGE(""https://docs.google.com/spreadsheets/d/1QqKyyYR6Q21VydFLVH3TRQUabQu_ym0Zz7PgGX0-kHA/edit?usp=sharing"",""แผน!GA82"")"),30)</f>
        <v>30</v>
      </c>
      <c r="J498" s="215">
        <v>30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IFERROR(__xludf.DUMMYFUNCTION("IMPORTRANGE(""https://docs.google.com/spreadsheets/d/1QqKyyYR6Q21VydFLVH3TRQUabQu_ym0Zz7PgGX0-kHA/edit?usp=sharing"",""แผน!GU82"")"),0)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IFERROR(__xludf.DUMMYFUNCTION("IMPORTRANGE(""https://docs.google.com/spreadsheets/d/1QqKyyYR6Q21VydFLVH3TRQUabQu_ym0Zz7PgGX0-kHA/edit?usp=sharing"",""แผน!GV82"")"),0)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IFERROR(__xludf.DUMMYFUNCTION("IMPORTRANGE(""https://docs.google.com/spreadsheets/d/1QqKyyYR6Q21VydFLVH3TRQUabQu_ym0Zz7PgGX0-kHA/edit?usp=sharing"",""แผน!GW82"")"),0)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IFERROR(__xludf.DUMMYFUNCTION("IMPORTRANGE(""https://docs.google.com/spreadsheets/d/1QqKyyYR6Q21VydFLVH3TRQUabQu_ym0Zz7PgGX0-kHA/edit?usp=sharing"",""แผน!GX82"")"),0)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IFERROR(__xludf.DUMMYFUNCTION("IMPORTRANGE(""https://docs.google.com/spreadsheets/d/1QqKyyYR6Q21VydFLVH3TRQUabQu_ym0Zz7PgGX0-kHA/edit?usp=sharing"",""แผน!GY82"")"),0)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IFERROR(__xludf.DUMMYFUNCTION("IMPORTRANGE(""https://docs.google.com/spreadsheets/d/1QqKyyYR6Q21VydFLVH3TRQUabQu_ym0Zz7PgGX0-kHA/edit?usp=sharing"",""แผน!GZ82"")"),0)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36514</v>
      </c>
      <c r="J543" s="686">
        <f t="shared" si="235"/>
        <v>36514.195</v>
      </c>
      <c r="K543" s="687">
        <f t="shared" ca="1" si="234"/>
        <v>100.00053404173741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537675</v>
      </c>
      <c r="M544" s="155">
        <f t="shared" ca="1" si="236"/>
        <v>537675</v>
      </c>
      <c r="N544" s="155">
        <f t="shared" si="236"/>
        <v>294758.88</v>
      </c>
      <c r="O544" s="155">
        <f t="shared" ref="O544:O549" ca="1" si="237">IF(L544&gt;0,N544*100/L544,0)</f>
        <v>54.82101269354164</v>
      </c>
      <c r="P544" s="155">
        <f t="shared" ref="P544:P549" ca="1" si="238">IF(M544&gt;0,N544*100/M544,0)</f>
        <v>54.82101269354164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537675</v>
      </c>
      <c r="M546" s="93">
        <f t="shared" ca="1" si="240"/>
        <v>537675</v>
      </c>
      <c r="N546" s="93">
        <f t="shared" si="240"/>
        <v>294758.88</v>
      </c>
      <c r="O546" s="93">
        <f t="shared" ca="1" si="237"/>
        <v>54.82101269354164</v>
      </c>
      <c r="P546" s="93">
        <f t="shared" ca="1" si="238"/>
        <v>54.82101269354164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537675</v>
      </c>
      <c r="M547" s="498">
        <f t="shared" ca="1" si="241"/>
        <v>537675</v>
      </c>
      <c r="N547" s="498">
        <f t="shared" si="241"/>
        <v>294758.88</v>
      </c>
      <c r="O547" s="498">
        <f t="shared" ca="1" si="237"/>
        <v>54.82101269354164</v>
      </c>
      <c r="P547" s="498">
        <f t="shared" ca="1" si="238"/>
        <v>54.82101269354164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IFERROR(__xludf.DUMMYFUNCTION("IMPORTRANGE(""https://docs.google.com/spreadsheets/d/1QqKyyYR6Q21VydFLVH3TRQUabQu_ym0Zz7PgGX0-kHA/edit?usp=sharing"",""แผน!HB82"")"),537675)</f>
        <v>537675</v>
      </c>
      <c r="M549" s="93">
        <f ca="1">L549</f>
        <v>537675</v>
      </c>
      <c r="N549" s="93">
        <f>N550+N551+N552+N553+N554</f>
        <v>294758.88</v>
      </c>
      <c r="O549" s="93">
        <f t="shared" ca="1" si="237"/>
        <v>54.82101269354164</v>
      </c>
      <c r="P549" s="93">
        <f t="shared" ca="1" si="238"/>
        <v>54.82101269354164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103147.07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191611.81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36514</v>
      </c>
      <c r="J559" s="707">
        <f t="shared" si="245"/>
        <v>36514.195</v>
      </c>
      <c r="K559" s="676">
        <f t="shared" ref="K559:K561" ca="1" si="246">IF(I559&gt;0,J559*100/I559,0)</f>
        <v>100.00053404173741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IFERROR(__xludf.DUMMYFUNCTION("IMPORTRANGE(""https://docs.google.com/spreadsheets/d/1QqKyyYR6Q21VydFLVH3TRQUabQu_ym0Zz7PgGX0-kHA/edit?usp=sharing"",""แผน!HH82"")"),36514)</f>
        <v>36514</v>
      </c>
      <c r="J560" s="193">
        <f t="shared" ref="J560:J561" si="247">J562+J564+J566</f>
        <v>36514.232499999998</v>
      </c>
      <c r="K560" s="412">
        <f t="shared" ca="1" si="246"/>
        <v>100.00063674207153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IFERROR(__xludf.DUMMYFUNCTION("IMPORTRANGE(""https://docs.google.com/spreadsheets/d/1QqKyyYR6Q21VydFLVH3TRQUabQu_ym0Zz7PgGX0-kHA/edit?usp=sharing"",""แผน!HG82"")"),7422)</f>
        <v>7422</v>
      </c>
      <c r="J561" s="193">
        <f t="shared" si="247"/>
        <v>7422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31338.235000000001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6525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4457.84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773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718.15750000000003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124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IFERROR(__xludf.DUMMYFUNCTION("IMPORTRANGE(""https://docs.google.com/spreadsheets/d/1QqKyyYR6Q21VydFLVH3TRQUabQu_ym0Zz7PgGX0-kHA/edit?usp=sharing"",""แผน!HH82"")"),36514)</f>
        <v>36514</v>
      </c>
      <c r="J568" s="680">
        <f t="shared" ref="J568:J569" si="248">J570+J572+J574</f>
        <v>36514.777499999997</v>
      </c>
      <c r="K568" s="412">
        <f t="shared" ref="K568:K569" ca="1" si="249">IF(I568&gt;0,J568*100/I568,0)</f>
        <v>100.00212932026071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IFERROR(__xludf.DUMMYFUNCTION("IMPORTRANGE(""https://docs.google.com/spreadsheets/d/1QqKyyYR6Q21VydFLVH3TRQUabQu_ym0Zz7PgGX0-kHA/edit?usp=sharing"",""แผน!HG82"")"),7422)</f>
        <v>7422</v>
      </c>
      <c r="J569" s="680">
        <f t="shared" si="248"/>
        <v>7422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33777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6929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2062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374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675.77750000000003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119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IFERROR(__xludf.DUMMYFUNCTION("IMPORTRANGE(""https://docs.google.com/spreadsheets/d/1QqKyyYR6Q21VydFLVH3TRQUabQu_ym0Zz7PgGX0-kHA/edit?usp=sharing"",""แผน!HH82"")"),36514)</f>
        <v>36514</v>
      </c>
      <c r="J576" s="680">
        <f t="shared" ref="J576:J577" si="250">J578+J580+J582+J588+J590</f>
        <v>36514.195</v>
      </c>
      <c r="K576" s="412">
        <f t="shared" ref="K576:K577" ca="1" si="251">IF(I576&gt;0,J576*100/I576,0)</f>
        <v>100.00053404173741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IFERROR(__xludf.DUMMYFUNCTION("IMPORTRANGE(""https://docs.google.com/spreadsheets/d/1QqKyyYR6Q21VydFLVH3TRQUabQu_ym0Zz7PgGX0-kHA/edit?usp=sharing"",""แผน!HG82"")"),7422)</f>
        <v>7422</v>
      </c>
      <c r="J577" s="680">
        <f t="shared" si="250"/>
        <v>7422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33776.602500000001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6929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2061.8150000000001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374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675.77750000000003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119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675.77750000000003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119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2370.63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IFERROR(__xludf.DUMMYFUNCTION("IMPORTRANGE(""https://docs.google.com/spreadsheets/d/1QqKyyYR6Q21VydFLVH3TRQUabQu_ym0Zz7PgGX0-kHA/edit?usp=sharing"",""แผน!HJ82"")"),2370.63)</f>
        <v>2370.63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IFERROR(__xludf.DUMMYFUNCTION("IMPORTRANGE(""https://docs.google.com/spreadsheets/d/1QqKyyYR6Q21VydFLVH3TRQUabQu_ym0Zz7PgGX0-kHA/edit?usp=sharing"",""แผน!HI82"")"),404)</f>
        <v>404</v>
      </c>
      <c r="J594" s="193">
        <f t="shared" si="255"/>
        <v>28</v>
      </c>
      <c r="K594" s="412">
        <f t="shared" ca="1" si="254"/>
        <v>6.9306930693069306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26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24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2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2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2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IFERROR(__xludf.DUMMYFUNCTION("IMPORTRANGE(""https://docs.google.com/spreadsheets/d/1QqKyyYR6Q21VydFLVH3TRQUabQu_ym0Zz7PgGX0-kHA/edit?usp=sharing"",""แผน!HL82"")"),13)</f>
        <v>13</v>
      </c>
      <c r="J620" s="727">
        <f t="shared" ref="J620:J621" si="260">J622+J624+J626</f>
        <v>13</v>
      </c>
      <c r="K620" s="728">
        <f t="shared" ref="K620:K621" ca="1" si="261">IF(I620&gt;0,J620*100/I620,0)</f>
        <v>100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IFERROR(__xludf.DUMMYFUNCTION("IMPORTRANGE(""https://docs.google.com/spreadsheets/d/1QqKyyYR6Q21VydFLVH3TRQUabQu_ym0Zz7PgGX0-kHA/edit?usp=sharing"",""แผน!HK82"")"),4)</f>
        <v>4</v>
      </c>
      <c r="J621" s="727">
        <f t="shared" si="260"/>
        <v>4</v>
      </c>
      <c r="K621" s="728">
        <f t="shared" ca="1" si="261"/>
        <v>100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12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3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1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1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IFERROR(__xludf.DUMMYFUNCTION("IMPORTRANGE(""https://docs.google.com/spreadsheets/d/1QqKyyYR6Q21VydFLVH3TRQUabQu_ym0Zz7PgGX0-kHA/edit?usp=sharing"",""แผน!HN82"")"),0)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IFERROR(__xludf.DUMMYFUNCTION("IMPORTRANGE(""https://docs.google.com/spreadsheets/d/1QqKyyYR6Q21VydFLVH3TRQUabQu_ym0Zz7PgGX0-kHA/edit?usp=sharing"",""แผน!HR82"")"),0)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IFERROR(__xludf.DUMMYFUNCTION("IMPORTRANGE(""https://docs.google.com/spreadsheets/d/1XWAQStnk-4SwqDmLtmXYiTMKHgktTP8We1SCoS47DrQ/edit?usp=sharing"",""จัดที่ดิน!AS82"")"),0)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IFERROR(__xludf.DUMMYFUNCTION("IMPORTRANGE(""https://docs.google.com/spreadsheets/d/1XWAQStnk-4SwqDmLtmXYiTMKHgktTP8We1SCoS47DrQ/edit?usp=sharing"",""จัดที่ดิน!AT82"")"),0)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IFERROR(__xludf.DUMMYFUNCTION("IMPORTRANGE(""https://docs.google.com/spreadsheets/d/1QqKyyYR6Q21VydFLVH3TRQUabQu_ym0Zz7PgGX0-kHA/edit?usp=sharing"",""แผน!HS82"")"),0)</f>
        <v>0</v>
      </c>
      <c r="J647" s="270">
        <f ca="1">IFERROR(__xludf.DUMMYFUNCTION("IMPORTRANGE(""https://docs.google.com/spreadsheets/d/1XWAQStnk-4SwqDmLtmXYiTMKHgktTP8We1SCoS47DrQ/edit?usp=sharing"",""จัดที่ดิน!AU82"")"),0)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IFERROR(__xludf.DUMMYFUNCTION("IMPORTRANGE(""https://docs.google.com/spreadsheets/d/1XWAQStnk-4SwqDmLtmXYiTMKHgktTP8We1SCoS47DrQ/edit?usp=sharing"",""จัดที่ดิน!AV82"")"),0)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IFERROR(__xludf.DUMMYFUNCTION("IMPORTRANGE(""https://docs.google.com/spreadsheets/d/1QqKyyYR6Q21VydFLVH3TRQUabQu_ym0Zz7PgGX0-kHA/edit?usp=sharing"",""แผน!HS82"")"),0)</f>
        <v>0</v>
      </c>
      <c r="J649" s="270">
        <f ca="1">IFERROR(__xludf.DUMMYFUNCTION("IMPORTRANGE(""https://docs.google.com/spreadsheets/d/1XWAQStnk-4SwqDmLtmXYiTMKHgktTP8We1SCoS47DrQ/edit?usp=sharing"",""จัดที่ดิน!AW82"")"),0)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IFERROR(__xludf.DUMMYFUNCTION("IMPORTRANGE(""https://docs.google.com/spreadsheets/d/1XWAQStnk-4SwqDmLtmXYiTMKHgktTP8We1SCoS47DrQ/edit?usp=sharing"",""จัดที่ดิน!AX82"")"),0)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IFERROR(__xludf.DUMMYFUNCTION("IMPORTRANGE(""https://docs.google.com/spreadsheets/d/1QqKyyYR6Q21VydFLVH3TRQUabQu_ym0Zz7PgGX0-kHA/edit?usp=sharing"",""แผน!HS82"")"),0)</f>
        <v>0</v>
      </c>
      <c r="J651" s="270">
        <f ca="1">IFERROR(__xludf.DUMMYFUNCTION("IMPORTRANGE(""https://docs.google.com/spreadsheets/d/1XWAQStnk-4SwqDmLtmXYiTMKHgktTP8We1SCoS47DrQ/edit?usp=sharing"",""จัดที่ดิน!AY82"")"),0)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IFERROR(__xludf.DUMMYFUNCTION("IMPORTRANGE(""https://docs.google.com/spreadsheets/d/1XWAQStnk-4SwqDmLtmXYiTMKHgktTP8We1SCoS47DrQ/edit?usp=sharing"",""จัดที่ดิน!AZ82"")"),0)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4240.3999999999996</v>
      </c>
      <c r="O655" s="195">
        <f t="shared" ref="O655:O660" ca="1" si="274">IF(L655&gt;0,N655*100/L655,0)</f>
        <v>38.549090909090907</v>
      </c>
      <c r="P655" s="195">
        <f t="shared" ref="P655:P660" ca="1" si="275">IF(M655&gt;0,N655*100/M655,0)</f>
        <v>38.549090909090907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4240.3999999999996</v>
      </c>
      <c r="O657" s="93">
        <f t="shared" ca="1" si="274"/>
        <v>38.549090909090907</v>
      </c>
      <c r="P657" s="93">
        <f t="shared" ca="1" si="275"/>
        <v>38.549090909090907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11000</v>
      </c>
      <c r="M658" s="498">
        <f t="shared" ca="1" si="277"/>
        <v>11000</v>
      </c>
      <c r="N658" s="498">
        <f t="shared" si="277"/>
        <v>4240.3999999999996</v>
      </c>
      <c r="O658" s="498">
        <f t="shared" ca="1" si="274"/>
        <v>38.549090909090907</v>
      </c>
      <c r="P658" s="498">
        <f t="shared" ca="1" si="275"/>
        <v>38.549090909090907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IFERROR(__xludf.DUMMYFUNCTION("IMPORTRANGE(""https://docs.google.com/spreadsheets/d/1QqKyyYR6Q21VydFLVH3TRQUabQu_ym0Zz7PgGX0-kHA/edit?usp=sharing"",""แผน!HV82"")"),11000)</f>
        <v>11000</v>
      </c>
      <c r="M660" s="93">
        <f ca="1">L660</f>
        <v>11000</v>
      </c>
      <c r="N660" s="93">
        <f>N661+N662+N663+N664</f>
        <v>4240.3999999999996</v>
      </c>
      <c r="O660" s="93">
        <f t="shared" ca="1" si="274"/>
        <v>38.549090909090907</v>
      </c>
      <c r="P660" s="93">
        <f t="shared" ca="1" si="275"/>
        <v>38.549090909090907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4240.3999999999996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IFERROR(__xludf.DUMMYFUNCTION("IMPORTRANGE(""https://docs.google.com/spreadsheets/d/1QqKyyYR6Q21VydFLVH3TRQUabQu_ym0Zz7PgGX0-kHA/edit?usp=sharing"",""แผน!IA82"")"),50)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IFERROR(__xludf.DUMMYFUNCTION("IMPORTRANGE(""https://docs.google.com/spreadsheets/d/1QqKyyYR6Q21VydFLVH3TRQUabQu_ym0Zz7PgGX0-kHA/edit?usp=sharing"",""แผน!HZ82"")"),5)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IFERROR(__xludf.DUMMYFUNCTION("IMPORTRANGE(""https://docs.google.com/spreadsheets/d/1QqKyyYR6Q21VydFLVH3TRQUabQu_ym0Zz7PgGX0-kHA/edit?usp=sharing"",""แผน!HZ82"")"),5)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IFERROR(__xludf.DUMMYFUNCTION("IMPORTRANGE(""https://docs.google.com/spreadsheets/d/1QqKyyYR6Q21VydFLVH3TRQUabQu_ym0Zz7PgGX0-kHA/edit?usp=sharing"",""แผน!IB82"")"),0)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IFERROR(__xludf.DUMMYFUNCTION("IMPORTRANGE(""https://docs.google.com/spreadsheets/d/1QqKyyYR6Q21VydFLVH3TRQUabQu_ym0Zz7PgGX0-kHA/edit?usp=sharing"",""แผน!IC82"")"),0)</f>
        <v>0</v>
      </c>
      <c r="J699" s="270">
        <f ca="1">IFERROR(__xludf.DUMMYFUNCTION("IMPORTRANGE(""https://docs.google.com/spreadsheets/d/1XWAQStnk-4SwqDmLtmXYiTMKHgktTP8We1SCoS47DrQ/edit?usp=sharing"",""จัดที่ดิน!BB82"")"),0)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IFERROR(__xludf.DUMMYFUNCTION("IMPORTRANGE(""https://docs.google.com/spreadsheets/d/1QqKyyYR6Q21VydFLVH3TRQUabQu_ym0Zz7PgGX0-kHA/edit?usp=sharing"",""แผน!ID82"")"),0)</f>
        <v>0</v>
      </c>
      <c r="J700" s="270">
        <f ca="1">IFERROR(__xludf.DUMMYFUNCTION("IMPORTRANGE(""https://docs.google.com/spreadsheets/d/1XWAQStnk-4SwqDmLtmXYiTMKHgktTP8We1SCoS47DrQ/edit?usp=sharing"",""จัดที่ดิน!BD82"")"),0)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IFERROR(__xludf.DUMMYFUNCTION("IMPORTRANGE(""https://docs.google.com/spreadsheets/d/1QqKyyYR6Q21VydFLVH3TRQUabQu_ym0Zz7PgGX0-kHA/edit?usp=sharing"",""แผน!IE82"")"),0)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IFERROR(__xludf.DUMMYFUNCTION("IMPORTRANGE(""https://docs.google.com/spreadsheets/d/1QqKyyYR6Q21VydFLVH3TRQUabQu_ym0Zz7PgGX0-kHA/edit?usp=sharing"",""แผน!IF82"")"),0)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IFERROR(__xludf.DUMMYFUNCTION("IMPORTRANGE(""https://docs.google.com/spreadsheets/d/1QqKyyYR6Q21VydFLVH3TRQUabQu_ym0Zz7PgGX0-kHA/edit?usp=sharing"",""แผน!IG82"")"),0)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IFERROR(__xludf.DUMMYFUNCTION("IMPORTRANGE(""https://docs.google.com/spreadsheets/d/1QqKyyYR6Q21VydFLVH3TRQUabQu_ym0Zz7PgGX0-kHA/edit?usp=sharing"",""แผน!IH82"")"),0)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IFERROR(__xludf.DUMMYFUNCTION("IMPORTRANGE(""https://docs.google.com/spreadsheets/d/1XWAQStnk-4SwqDmLtmXYiTMKHgktTP8We1SCoS47DrQ/edit?usp=sharing"",""จัดที่ดิน!BF82"")"),0)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IFERROR(__xludf.DUMMYFUNCTION("IMPORTRANGE(""https://docs.google.com/spreadsheets/d/1XWAQStnk-4SwqDmLtmXYiTMKHgktTP8We1SCoS47DrQ/edit?usp=sharing"",""จัดที่ดิน!BG82"")"),0)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IFERROR(__xludf.DUMMYFUNCTION("IMPORTRANGE(""https://docs.google.com/spreadsheets/d/1QqKyyYR6Q21VydFLVH3TRQUabQu_ym0Zz7PgGX0-kHA/edit?usp=sharing"",""แผน!II82"")"),0)</f>
        <v>0</v>
      </c>
      <c r="J720" s="270">
        <f ca="1">IFERROR(__xludf.DUMMYFUNCTION("IMPORTRANGE(""https://docs.google.com/spreadsheets/d/1XWAQStnk-4SwqDmLtmXYiTMKHgktTP8We1SCoS47DrQ/edit?usp=sharing"",""จัดที่ดิน!BH82"")"),0)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IFERROR(__xludf.DUMMYFUNCTION("IMPORTRANGE(""https://docs.google.com/spreadsheets/d/1QqKyyYR6Q21VydFLVH3TRQUabQu_ym0Zz7PgGX0-kHA/edit?usp=sharing"",""แผน!IJ82"")"),0)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IFERROR(__xludf.DUMMYFUNCTION("IMPORTRANGE(""https://docs.google.com/spreadsheets/d/1QqKyyYR6Q21VydFLVH3TRQUabQu_ym0Zz7PgGX0-kHA/edit?usp=sharing"",""แผน!IK82"")"),0)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IFERROR(__xludf.DUMMYFUNCTION("IMPORTRANGE(""https://docs.google.com/spreadsheets/d/1QqKyyYR6Q21VydFLVH3TRQUabQu_ym0Zz7PgGX0-kHA/edit?usp=sharing"",""แผน!IL82"")"),0)</f>
        <v>0</v>
      </c>
      <c r="J723" s="270">
        <f ca="1">IFERROR(__xludf.DUMMYFUNCTION("IMPORTRANGE(""https://docs.google.com/spreadsheets/d/1XWAQStnk-4SwqDmLtmXYiTMKHgktTP8We1SCoS47DrQ/edit?usp=sharing"",""จัดที่ดิน!BM82"")"),0)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IFERROR(__xludf.DUMMYFUNCTION("IMPORTRANGE(""https://docs.google.com/spreadsheets/d/1XWAQStnk-4SwqDmLtmXYiTMKHgktTP8We1SCoS47DrQ/edit?usp=sharing"",""จัดที่ดิน!BN82"")"),0)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IFERROR(__xludf.DUMMYFUNCTION("IMPORTRANGE(""https://docs.google.com/spreadsheets/d/1QqKyyYR6Q21VydFLVH3TRQUabQu_ym0Zz7PgGX0-kHA/edit?usp=sharing"",""แผน!IM82"")"),0)</f>
        <v>0</v>
      </c>
      <c r="J725" s="270">
        <f ca="1">IFERROR(__xludf.DUMMYFUNCTION("IMPORTRANGE(""https://docs.google.com/spreadsheets/d/1XWAQStnk-4SwqDmLtmXYiTMKHgktTP8We1SCoS47DrQ/edit?usp=sharing"",""จัดที่ดิน!BO82"")"),0)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IFERROR(__xludf.DUMMYFUNCTION("IMPORTRANGE(""https://docs.google.com/spreadsheets/d/1QqKyyYR6Q21VydFLVH3TRQUabQu_ym0Zz7PgGX0-kHA/edit?usp=sharing"",""แผน!IN82"")"),0)</f>
        <v>0</v>
      </c>
      <c r="J726" s="270">
        <f ca="1">IFERROR(__xludf.DUMMYFUNCTION("IMPORTRANGE(""https://docs.google.com/spreadsheets/d/1XWAQStnk-4SwqDmLtmXYiTMKHgktTP8We1SCoS47DrQ/edit?usp=sharing"",""จัดที่ดิน!BR82"")"),0)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IFERROR(__xludf.DUMMYFUNCTION("IMPORTRANGE(""https://docs.google.com/spreadsheets/d/1XWAQStnk-4SwqDmLtmXYiTMKHgktTP8We1SCoS47DrQ/edit?usp=sharing"",""จัดที่ดิน!BS82"")"),0)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IFERROR(__xludf.DUMMYFUNCTION("IMPORTRANGE(""https://docs.google.com/spreadsheets/d/1QqKyyYR6Q21VydFLVH3TRQUabQu_ym0Zz7PgGX0-kHA/edit?usp=sharing"",""แผน!IO82"")"),0)</f>
        <v>0</v>
      </c>
      <c r="J728" s="270">
        <f ca="1">IFERROR(__xludf.DUMMYFUNCTION("IMPORTRANGE(""https://docs.google.com/spreadsheets/d/1XWAQStnk-4SwqDmLtmXYiTMKHgktTP8We1SCoS47DrQ/edit?usp=sharing"",""จัดที่ดิน!BT82"")"),0)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IFERROR(__xludf.DUMMYFUNCTION("IMPORTRANGE(""https://docs.google.com/spreadsheets/d/1QqKyyYR6Q21VydFLVH3TRQUabQu_ym0Zz7PgGX0-kHA/edit?usp=sharing"",""แผน!IP82"")"),0)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IFERROR(__xludf.DUMMYFUNCTION("IMPORTRANGE(""https://docs.google.com/spreadsheets/d/1QqKyyYR6Q21VydFLVH3TRQUabQu_ym0Zz7PgGX0-kHA/edit?usp=sharing"",""แผน!JN82"")"),0)</f>
        <v>0</v>
      </c>
      <c r="J800" s="184">
        <f ca="1">IFERROR(__xludf.DUMMYFUNCTION("IMPORTRANGE(""https://docs.google.com/spreadsheets/d/1MaWodYyGHDf7siQLGxnXhG4mBNTNIuy296niS2xXulU/edit?usp=sharing"",""RTK!H82"")"),0)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IFERROR(__xludf.DUMMYFUNCTION("IMPORTRANGE(""https://docs.google.com/spreadsheets/d/1MaWodYyGHDf7siQLGxnXhG4mBNTNIuy296niS2xXulU/edit?usp=sharing"",""RTK!I82"")"),0)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345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IFERROR(__xludf.DUMMYFUNCTION("IMPORTRANGE(""https://docs.google.com/spreadsheets/d/19vJNZY_5yjcGF2XGBMNZRCAIB0Kwfpjp8YEOfu-bneM/edit?usp=sharing"",""งานกองทุน!D82"")"),1659588.7)</f>
        <v>1659588.7</v>
      </c>
      <c r="J821" s="270">
        <f ca="1">IFERROR(__xludf.DUMMYFUNCTION("IMPORTRANGE(""https://docs.google.com/spreadsheets/d/19vJNZY_5yjcGF2XGBMNZRCAIB0Kwfpjp8YEOfu-bneM/edit?usp=sharing"",""งานกองทุน!F82"")"),1110662.33)</f>
        <v>1110662.33</v>
      </c>
      <c r="K821" s="498">
        <f t="shared" ref="K821:K828" ca="1" si="335">IF(I821&gt;0,J821*100/I821,0)</f>
        <v>66.92395109703989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IFERROR(__xludf.DUMMYFUNCTION("IMPORTRANGE(""https://docs.google.com/spreadsheets/d/19vJNZY_5yjcGF2XGBMNZRCAIB0Kwfpjp8YEOfu-bneM/edit?usp=sharing"",""งานกองทุน!C82"")"),149)</f>
        <v>149</v>
      </c>
      <c r="J822" s="270">
        <f ca="1">IFERROR(__xludf.DUMMYFUNCTION("IMPORTRANGE(""https://docs.google.com/spreadsheets/d/19vJNZY_5yjcGF2XGBMNZRCAIB0Kwfpjp8YEOfu-bneM/edit?usp=sharing"",""งานกองทุน!E82"")"),93)</f>
        <v>93</v>
      </c>
      <c r="K822" s="498">
        <f t="shared" ca="1" si="335"/>
        <v>62.416107382550337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IFERROR(__xludf.DUMMYFUNCTION("IMPORTRANGE(""https://docs.google.com/spreadsheets/d/19vJNZY_5yjcGF2XGBMNZRCAIB0Kwfpjp8YEOfu-bneM/edit?usp=sharing"",""งานกองทุน!I82"")"),794344.6)</f>
        <v>794344.6</v>
      </c>
      <c r="J823" s="270">
        <f ca="1">IFERROR(__xludf.DUMMYFUNCTION("IMPORTRANGE(""https://docs.google.com/spreadsheets/d/19vJNZY_5yjcGF2XGBMNZRCAIB0Kwfpjp8YEOfu-bneM/edit?usp=sharing"",""งานกองทุน!K82"")"),102476.66)</f>
        <v>102476.66</v>
      </c>
      <c r="K823" s="498">
        <f t="shared" ca="1" si="335"/>
        <v>12.900781348548225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IFERROR(__xludf.DUMMYFUNCTION("IMPORTRANGE(""https://docs.google.com/spreadsheets/d/19vJNZY_5yjcGF2XGBMNZRCAIB0Kwfpjp8YEOfu-bneM/edit?usp=sharing"",""งานกองทุน!H82"")"),55)</f>
        <v>55</v>
      </c>
      <c r="J824" s="270">
        <f ca="1">IFERROR(__xludf.DUMMYFUNCTION("IMPORTRANGE(""https://docs.google.com/spreadsheets/d/19vJNZY_5yjcGF2XGBMNZRCAIB0Kwfpjp8YEOfu-bneM/edit?usp=sharing"",""งานกองทุน!J82"")"),33)</f>
        <v>33</v>
      </c>
      <c r="K824" s="498">
        <f t="shared" ca="1" si="335"/>
        <v>60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IFERROR(__xludf.DUMMYFUNCTION("IMPORTRANGE(""https://docs.google.com/spreadsheets/d/19vJNZY_5yjcGF2XGBMNZRCAIB0Kwfpjp8YEOfu-bneM/edit?usp=sharing"",""งานกองทุน!N82"")"),0)</f>
        <v>0</v>
      </c>
      <c r="J825" s="270">
        <f ca="1">IFERROR(__xludf.DUMMYFUNCTION("IMPORTRANGE(""https://docs.google.com/spreadsheets/d/19vJNZY_5yjcGF2XGBMNZRCAIB0Kwfpjp8YEOfu-bneM/edit?usp=sharing"",""งานกองทุน!P82"")"),0)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IFERROR(__xludf.DUMMYFUNCTION("IMPORTRANGE(""https://docs.google.com/spreadsheets/d/19vJNZY_5yjcGF2XGBMNZRCAIB0Kwfpjp8YEOfu-bneM/edit?usp=sharing"",""งานกองทุน!M82"")"),0)</f>
        <v>0</v>
      </c>
      <c r="J826" s="270">
        <f ca="1">IFERROR(__xludf.DUMMYFUNCTION("IMPORTRANGE(""https://docs.google.com/spreadsheets/d/19vJNZY_5yjcGF2XGBMNZRCAIB0Kwfpjp8YEOfu-bneM/edit?usp=sharing"",""งานกองทุน!O82"")"),0)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IFERROR(__xludf.DUMMYFUNCTION("IMPORTRANGE(""https://docs.google.com/spreadsheets/d/19vJNZY_5yjcGF2XGBMNZRCAIB0Kwfpjp8YEOfu-bneM/edit?usp=sharing"",""งานกองทุน!S82"")"),1375000)</f>
        <v>1375000</v>
      </c>
      <c r="J827" s="270">
        <f ca="1">IFERROR(__xludf.DUMMYFUNCTION("IMPORTRANGE(""https://docs.google.com/spreadsheets/d/19vJNZY_5yjcGF2XGBMNZRCAIB0Kwfpjp8YEOfu-bneM/edit?usp=sharing"",""งานกองทุน!U82"")"),1375000)</f>
        <v>1375000</v>
      </c>
      <c r="K827" s="498">
        <f t="shared" ca="1" si="335"/>
        <v>100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IFERROR(__xludf.DUMMYFUNCTION("IMPORTRANGE(""https://docs.google.com/spreadsheets/d/19vJNZY_5yjcGF2XGBMNZRCAIB0Kwfpjp8YEOfu-bneM/edit?usp=sharing"",""งานกองทุน!R82"")"),46)</f>
        <v>46</v>
      </c>
      <c r="J828" s="505">
        <f ca="1">IFERROR(__xludf.DUMMYFUNCTION("IMPORTRANGE(""https://docs.google.com/spreadsheets/d/19vJNZY_5yjcGF2XGBMNZRCAIB0Kwfpjp8YEOfu-bneM/edit?usp=sharing"",""งานกองทุน!T82"")"),46)</f>
        <v>46</v>
      </c>
      <c r="K828" s="506">
        <f t="shared" ca="1" si="335"/>
        <v>100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29</vt:i4>
      </vt:variant>
    </vt:vector>
  </HeadingPairs>
  <TitlesOfParts>
    <vt:vector size="44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กระบี่!Print_Area</vt:lpstr>
      <vt:lpstr>ชุมพร!Print_Area</vt:lpstr>
      <vt:lpstr>ตรัง!Print_Area</vt:lpstr>
      <vt:lpstr>นครศรีธรรมราช!Print_Area</vt:lpstr>
      <vt:lpstr>นราธิวาส!Print_Area</vt:lpstr>
      <vt:lpstr>ปัตตานี!Print_Area</vt:lpstr>
      <vt:lpstr>พังงา!Print_Area</vt:lpstr>
      <vt:lpstr>พัทลุง!Print_Area</vt:lpstr>
      <vt:lpstr>ยะลา!Print_Area</vt:lpstr>
      <vt:lpstr>รวมใต้!Print_Area</vt:lpstr>
      <vt:lpstr>ระนอง!Print_Area</vt:lpstr>
      <vt:lpstr>สงขลา!Print_Area</vt:lpstr>
      <vt:lpstr>สตูล!Print_Area</vt:lpstr>
      <vt:lpstr>สุราษฎร์ธานี!Print_Area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2023-07-24T09:15:20Z</dcterms:modified>
</cp:coreProperties>
</file>